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bookViews>
    <workbookView xWindow="0" yWindow="0" windowWidth="20490" windowHeight="7620"/>
  </bookViews>
  <sheets>
    <sheet name="Financial Statistics " sheetId="1" r:id="rId1"/>
  </sheets>
  <calcPr calcId="162913"/>
</workbook>
</file>

<file path=xl/calcChain.xml><?xml version="1.0" encoding="utf-8"?>
<calcChain xmlns="http://schemas.openxmlformats.org/spreadsheetml/2006/main">
  <c r="K61" i="1" l="1"/>
  <c r="J61" i="1"/>
  <c r="I61" i="1"/>
  <c r="C61" i="1"/>
  <c r="D61" i="1"/>
  <c r="E61" i="1"/>
  <c r="F61" i="1"/>
  <c r="G61" i="1"/>
  <c r="B61" i="1"/>
  <c r="K47" i="1"/>
  <c r="J47" i="1"/>
  <c r="I47" i="1"/>
  <c r="F45" i="1"/>
  <c r="D45" i="1"/>
  <c r="C45" i="1"/>
  <c r="B45" i="1"/>
  <c r="T68" i="1" l="1"/>
  <c r="S68" i="1"/>
  <c r="R68" i="1"/>
  <c r="Q68" i="1"/>
  <c r="P68" i="1"/>
  <c r="M67" i="1"/>
  <c r="L67" i="1"/>
  <c r="K67" i="1"/>
  <c r="J67" i="1"/>
  <c r="H67" i="1"/>
  <c r="G67" i="1"/>
  <c r="F67" i="1"/>
  <c r="E67" i="1"/>
  <c r="D67" i="1"/>
  <c r="C67" i="1"/>
  <c r="B67" i="1"/>
  <c r="L63" i="1"/>
  <c r="K63" i="1"/>
  <c r="J63" i="1"/>
  <c r="I63" i="1"/>
  <c r="H63" i="1"/>
  <c r="G63" i="1"/>
  <c r="D63" i="1"/>
  <c r="C63" i="1"/>
  <c r="B63" i="1"/>
  <c r="R61" i="1"/>
  <c r="Q61" i="1"/>
  <c r="P61" i="1"/>
  <c r="O61" i="1"/>
  <c r="N61" i="1"/>
  <c r="O60" i="1"/>
  <c r="G56" i="1"/>
  <c r="D56" i="1"/>
  <c r="L55" i="1"/>
  <c r="K55" i="1"/>
  <c r="J55" i="1"/>
  <c r="M54" i="1"/>
  <c r="L54" i="1"/>
  <c r="K54" i="1"/>
  <c r="G54" i="1"/>
  <c r="F54" i="1"/>
  <c r="E54" i="1"/>
  <c r="D54" i="1"/>
  <c r="O52" i="1"/>
  <c r="O57" i="1" s="1"/>
  <c r="N49" i="1"/>
  <c r="N60" i="1" s="1"/>
  <c r="O48" i="1"/>
  <c r="N48" i="1"/>
  <c r="L48" i="1"/>
  <c r="I48" i="1"/>
  <c r="F48" i="1"/>
  <c r="D48" i="1"/>
  <c r="Q47" i="1"/>
  <c r="Q49" i="1" s="1"/>
  <c r="P47" i="1"/>
  <c r="P49" i="1" s="1"/>
  <c r="O47" i="1"/>
  <c r="N47" i="1"/>
  <c r="M47" i="1"/>
  <c r="M49" i="1" s="1"/>
  <c r="L45" i="1"/>
  <c r="Q42" i="1"/>
  <c r="J41" i="1"/>
  <c r="F41" i="1"/>
  <c r="E41" i="1"/>
  <c r="D41" i="1"/>
  <c r="C41" i="1"/>
  <c r="N40" i="1"/>
  <c r="L40" i="1"/>
  <c r="J40" i="1"/>
  <c r="H40" i="1"/>
  <c r="G40" i="1"/>
  <c r="F40" i="1"/>
  <c r="E40" i="1"/>
  <c r="D40" i="1"/>
  <c r="C40" i="1"/>
  <c r="B40" i="1"/>
  <c r="P39" i="1"/>
  <c r="O39" i="1"/>
  <c r="M39" i="1"/>
  <c r="L39" i="1"/>
  <c r="K39" i="1"/>
  <c r="H39" i="1"/>
  <c r="G39" i="1"/>
  <c r="F39" i="1"/>
  <c r="E39" i="1"/>
  <c r="D39" i="1"/>
  <c r="C39" i="1"/>
  <c r="B39" i="1"/>
  <c r="R38" i="1"/>
  <c r="R42" i="1" s="1"/>
  <c r="R7" i="1" s="1"/>
  <c r="P38" i="1"/>
  <c r="O38" i="1"/>
  <c r="O42" i="1" s="1"/>
  <c r="O7" i="1" s="1"/>
  <c r="N38" i="1"/>
  <c r="M38" i="1"/>
  <c r="L38" i="1"/>
  <c r="K38" i="1"/>
  <c r="J38" i="1"/>
  <c r="I38" i="1"/>
  <c r="H38" i="1"/>
  <c r="G38" i="1"/>
  <c r="F38" i="1"/>
  <c r="E38" i="1"/>
  <c r="E42" i="1" s="1"/>
  <c r="E7" i="1" s="1"/>
  <c r="D38" i="1"/>
  <c r="C38" i="1"/>
  <c r="C42" i="1" s="1"/>
  <c r="B38" i="1"/>
  <c r="B42" i="1" s="1"/>
  <c r="B7" i="1" s="1"/>
  <c r="N37" i="1"/>
  <c r="N42" i="1" s="1"/>
  <c r="N7" i="1" s="1"/>
  <c r="M37" i="1"/>
  <c r="L37" i="1"/>
  <c r="K37" i="1"/>
  <c r="K42" i="1" s="1"/>
  <c r="K7" i="1" s="1"/>
  <c r="I37" i="1"/>
  <c r="I42" i="1" s="1"/>
  <c r="I7" i="1" s="1"/>
  <c r="H37" i="1"/>
  <c r="H42" i="1" s="1"/>
  <c r="H7" i="1" s="1"/>
  <c r="G37" i="1"/>
  <c r="G42" i="1" s="1"/>
  <c r="F37" i="1"/>
  <c r="R32" i="1"/>
  <c r="R44" i="1" s="1"/>
  <c r="R47" i="1" s="1"/>
  <c r="R49" i="1" s="1"/>
  <c r="Q32" i="1"/>
  <c r="P32" i="1"/>
  <c r="N32" i="1"/>
  <c r="M32" i="1"/>
  <c r="K32" i="1"/>
  <c r="J32" i="1"/>
  <c r="G32" i="1"/>
  <c r="F32" i="1"/>
  <c r="E32" i="1"/>
  <c r="C32" i="1"/>
  <c r="B32" i="1"/>
  <c r="I31" i="1"/>
  <c r="O30" i="1"/>
  <c r="O32" i="1" s="1"/>
  <c r="L30" i="1"/>
  <c r="L32" i="1" s="1"/>
  <c r="H30" i="1"/>
  <c r="I29" i="1"/>
  <c r="I32" i="1" s="1"/>
  <c r="H29" i="1"/>
  <c r="H32" i="1" s="1"/>
  <c r="H44" i="1" s="1"/>
  <c r="H47" i="1" s="1"/>
  <c r="D29" i="1"/>
  <c r="D32" i="1" s="1"/>
  <c r="R23" i="1"/>
  <c r="Q23" i="1"/>
  <c r="P22" i="1"/>
  <c r="P23" i="1" s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O67" i="1" s="1"/>
  <c r="N21" i="1"/>
  <c r="N67" i="1" s="1"/>
  <c r="I21" i="1"/>
  <c r="I67" i="1" s="1"/>
  <c r="O20" i="1"/>
  <c r="O68" i="1" s="1"/>
  <c r="N20" i="1"/>
  <c r="M20" i="1"/>
  <c r="M68" i="1" s="1"/>
  <c r="L20" i="1"/>
  <c r="L68" i="1" s="1"/>
  <c r="K20" i="1"/>
  <c r="K68" i="1" s="1"/>
  <c r="J20" i="1"/>
  <c r="I20" i="1"/>
  <c r="H20" i="1"/>
  <c r="H68" i="1" s="1"/>
  <c r="G20" i="1"/>
  <c r="G68" i="1" s="1"/>
  <c r="F20" i="1"/>
  <c r="F23" i="1" s="1"/>
  <c r="E20" i="1"/>
  <c r="E68" i="1" s="1"/>
  <c r="D20" i="1"/>
  <c r="D23" i="1" s="1"/>
  <c r="C20" i="1"/>
  <c r="C68" i="1" s="1"/>
  <c r="B20" i="1"/>
  <c r="B23" i="1" s="1"/>
  <c r="J19" i="1"/>
  <c r="J23" i="1" s="1"/>
  <c r="I19" i="1"/>
  <c r="I23" i="1" s="1"/>
  <c r="D19" i="1"/>
  <c r="I18" i="1"/>
  <c r="R16" i="1"/>
  <c r="Q16" i="1"/>
  <c r="P16" i="1"/>
  <c r="O16" i="1"/>
  <c r="K16" i="1"/>
  <c r="E16" i="1"/>
  <c r="D15" i="1"/>
  <c r="C15" i="1"/>
  <c r="I14" i="1"/>
  <c r="D14" i="1"/>
  <c r="I13" i="1"/>
  <c r="H13" i="1"/>
  <c r="H10" i="1" s="1"/>
  <c r="H16" i="1" s="1"/>
  <c r="G13" i="1"/>
  <c r="G10" i="1" s="1"/>
  <c r="G16" i="1" s="1"/>
  <c r="F13" i="1"/>
  <c r="F10" i="1" s="1"/>
  <c r="D13" i="1"/>
  <c r="C13" i="1"/>
  <c r="B13" i="1"/>
  <c r="B10" i="1" s="1"/>
  <c r="B16" i="1" s="1"/>
  <c r="I12" i="1"/>
  <c r="I11" i="1"/>
  <c r="G11" i="1"/>
  <c r="F11" i="1"/>
  <c r="N10" i="1"/>
  <c r="N16" i="1" s="1"/>
  <c r="M10" i="1"/>
  <c r="M16" i="1" s="1"/>
  <c r="L10" i="1"/>
  <c r="L16" i="1" s="1"/>
  <c r="J10" i="1"/>
  <c r="J16" i="1" s="1"/>
  <c r="I10" i="1"/>
  <c r="D10" i="1"/>
  <c r="D16" i="1" s="1"/>
  <c r="C10" i="1"/>
  <c r="C16" i="1" s="1"/>
  <c r="Q7" i="1"/>
  <c r="K6" i="1"/>
  <c r="J6" i="1"/>
  <c r="I6" i="1"/>
  <c r="H6" i="1"/>
  <c r="G6" i="1"/>
  <c r="F6" i="1"/>
  <c r="E6" i="1"/>
  <c r="D6" i="1"/>
  <c r="C6" i="1"/>
  <c r="B6" i="1"/>
  <c r="L5" i="1"/>
  <c r="K5" i="1"/>
  <c r="J5" i="1"/>
  <c r="H5" i="1"/>
  <c r="G5" i="1"/>
  <c r="F5" i="1"/>
  <c r="E5" i="1"/>
  <c r="D5" i="1"/>
  <c r="C5" i="1"/>
  <c r="B5" i="1"/>
  <c r="I4" i="1"/>
  <c r="I68" i="1" l="1"/>
  <c r="N23" i="1"/>
  <c r="T44" i="1"/>
  <c r="E44" i="1"/>
  <c r="E47" i="1" s="1"/>
  <c r="L42" i="1"/>
  <c r="L7" i="1" s="1"/>
  <c r="F42" i="1"/>
  <c r="F7" i="1" s="1"/>
  <c r="L6" i="1"/>
  <c r="I16" i="1"/>
  <c r="F16" i="1"/>
  <c r="D68" i="1"/>
  <c r="D69" i="1" s="1"/>
  <c r="D70" i="1" s="1"/>
  <c r="D71" i="1" s="1"/>
  <c r="B44" i="1"/>
  <c r="B47" i="1" s="1"/>
  <c r="M42" i="1"/>
  <c r="M7" i="1" s="1"/>
  <c r="D42" i="1"/>
  <c r="D7" i="1" s="1"/>
  <c r="P42" i="1"/>
  <c r="P7" i="1" s="1"/>
  <c r="J42" i="1"/>
  <c r="J7" i="1" s="1"/>
  <c r="K49" i="1"/>
  <c r="K52" i="1" s="1"/>
  <c r="J49" i="1"/>
  <c r="J52" i="1" s="1"/>
  <c r="H49" i="1"/>
  <c r="H52" i="1" s="1"/>
  <c r="I49" i="1"/>
  <c r="I52" i="1" s="1"/>
  <c r="E49" i="1"/>
  <c r="E52" i="1" s="1"/>
  <c r="J57" i="1"/>
  <c r="B49" i="1"/>
  <c r="E69" i="1"/>
  <c r="E70" i="1" s="1"/>
  <c r="E71" i="1" s="1"/>
  <c r="I69" i="1"/>
  <c r="I70" i="1" s="1"/>
  <c r="I71" i="1" s="1"/>
  <c r="E60" i="1"/>
  <c r="C74" i="1"/>
  <c r="C69" i="1"/>
  <c r="C70" i="1" s="1"/>
  <c r="C71" i="1" s="1"/>
  <c r="G74" i="1"/>
  <c r="G69" i="1"/>
  <c r="G70" i="1" s="1"/>
  <c r="G71" i="1" s="1"/>
  <c r="K74" i="1"/>
  <c r="K69" i="1"/>
  <c r="K70" i="1" s="1"/>
  <c r="K71" i="1" s="1"/>
  <c r="O69" i="1"/>
  <c r="L44" i="1"/>
  <c r="L47" i="1" s="1"/>
  <c r="L49" i="1" s="1"/>
  <c r="P60" i="1"/>
  <c r="P52" i="1"/>
  <c r="P57" i="1" s="1"/>
  <c r="H69" i="1"/>
  <c r="H70" i="1" s="1"/>
  <c r="H71" i="1" s="1"/>
  <c r="H74" i="1"/>
  <c r="L69" i="1"/>
  <c r="L70" i="1" s="1"/>
  <c r="L74" i="1"/>
  <c r="R60" i="1"/>
  <c r="R52" i="1"/>
  <c r="R57" i="1" s="1"/>
  <c r="M52" i="1"/>
  <c r="M57" i="1" s="1"/>
  <c r="L53" i="1" s="1"/>
  <c r="M73" i="1"/>
  <c r="Q60" i="1"/>
  <c r="Q52" i="1"/>
  <c r="Q57" i="1" s="1"/>
  <c r="M69" i="1"/>
  <c r="M70" i="1"/>
  <c r="H60" i="1"/>
  <c r="O70" i="1"/>
  <c r="G44" i="1"/>
  <c r="G47" i="1" s="1"/>
  <c r="G7" i="1"/>
  <c r="C44" i="1"/>
  <c r="C47" i="1" s="1"/>
  <c r="C7" i="1"/>
  <c r="I5" i="1"/>
  <c r="C23" i="1"/>
  <c r="G23" i="1"/>
  <c r="K23" i="1"/>
  <c r="O23" i="1"/>
  <c r="J60" i="1"/>
  <c r="B68" i="1"/>
  <c r="F68" i="1"/>
  <c r="E74" i="1" s="1"/>
  <c r="J68" i="1"/>
  <c r="N68" i="1"/>
  <c r="H23" i="1"/>
  <c r="L23" i="1"/>
  <c r="K60" i="1"/>
  <c r="J73" i="1"/>
  <c r="N73" i="1"/>
  <c r="E23" i="1"/>
  <c r="M23" i="1"/>
  <c r="N52" i="1"/>
  <c r="N57" i="1" s="1"/>
  <c r="K73" i="1"/>
  <c r="K75" i="1" s="1"/>
  <c r="H73" i="1" l="1"/>
  <c r="F44" i="1"/>
  <c r="F47" i="1" s="1"/>
  <c r="D74" i="1"/>
  <c r="D44" i="1"/>
  <c r="D47" i="1" s="1"/>
  <c r="D49" i="1" s="1"/>
  <c r="I73" i="1"/>
  <c r="I60" i="1"/>
  <c r="B60" i="1"/>
  <c r="B52" i="1"/>
  <c r="B73" i="1"/>
  <c r="F49" i="1"/>
  <c r="F52" i="1" s="1"/>
  <c r="C49" i="1"/>
  <c r="C52" i="1" s="1"/>
  <c r="G49" i="1"/>
  <c r="G52" i="1" s="1"/>
  <c r="E73" i="1"/>
  <c r="E75" i="1" s="1"/>
  <c r="H57" i="1"/>
  <c r="G53" i="1" s="1"/>
  <c r="I57" i="1"/>
  <c r="J75" i="1"/>
  <c r="N69" i="1"/>
  <c r="N70" i="1" s="1"/>
  <c r="N74" i="1"/>
  <c r="L73" i="1"/>
  <c r="L75" i="1" s="1"/>
  <c r="L52" i="1"/>
  <c r="L57" i="1" s="1"/>
  <c r="K53" i="1" s="1"/>
  <c r="K57" i="1" s="1"/>
  <c r="J69" i="1"/>
  <c r="J70" i="1" s="1"/>
  <c r="J71" i="1" s="1"/>
  <c r="J74" i="1"/>
  <c r="F69" i="1"/>
  <c r="F70" i="1" s="1"/>
  <c r="F71" i="1" s="1"/>
  <c r="F74" i="1"/>
  <c r="N75" i="1"/>
  <c r="B69" i="1"/>
  <c r="B70" i="1" s="1"/>
  <c r="B71" i="1" s="1"/>
  <c r="B74" i="1"/>
  <c r="H75" i="1"/>
  <c r="M74" i="1"/>
  <c r="M75" i="1" s="1"/>
  <c r="C73" i="1"/>
  <c r="C75" i="1" s="1"/>
  <c r="I74" i="1"/>
  <c r="I75" i="1" s="1"/>
  <c r="D52" i="1" l="1"/>
  <c r="D73" i="1"/>
  <c r="D75" i="1" s="1"/>
  <c r="D60" i="1"/>
  <c r="B75" i="1"/>
  <c r="G60" i="1"/>
  <c r="G73" i="1"/>
  <c r="G75" i="1" s="1"/>
  <c r="F60" i="1"/>
  <c r="F73" i="1"/>
  <c r="F75" i="1" s="1"/>
  <c r="C60" i="1"/>
  <c r="G57" i="1"/>
  <c r="F53" i="1" s="1"/>
  <c r="F57" i="1" s="1"/>
  <c r="E53" i="1" s="1"/>
  <c r="E57" i="1" s="1"/>
  <c r="D53" i="1" s="1"/>
  <c r="D57" i="1" s="1"/>
  <c r="C53" i="1" s="1"/>
  <c r="C57" i="1" s="1"/>
  <c r="B53" i="1" s="1"/>
  <c r="B57" i="1" s="1"/>
</calcChain>
</file>

<file path=xl/sharedStrings.xml><?xml version="1.0" encoding="utf-8"?>
<sst xmlns="http://schemas.openxmlformats.org/spreadsheetml/2006/main" count="102" uniqueCount="79">
  <si>
    <t>Financial Statistics 2008 - 2017</t>
  </si>
  <si>
    <t>Restated 2015</t>
  </si>
  <si>
    <t>Restated 2013</t>
  </si>
  <si>
    <t>Restated 2012</t>
  </si>
  <si>
    <t>2007</t>
  </si>
  <si>
    <t>2006</t>
  </si>
  <si>
    <t>Units Sold (kWh x 1000)</t>
  </si>
  <si>
    <t>Tariff Sales (Cents per kWh)</t>
  </si>
  <si>
    <t>Fuel Charge (Cents per kWh)</t>
  </si>
  <si>
    <t>Operating costs (Cents per kWh)</t>
  </si>
  <si>
    <t>Summarised Balance Sheet (EC$000's)</t>
  </si>
  <si>
    <t xml:space="preserve">     Fixed Assets (Net)</t>
  </si>
  <si>
    <t xml:space="preserve">     Retirement Benefit Asset</t>
  </si>
  <si>
    <t xml:space="preserve">     Other Financial Assets</t>
  </si>
  <si>
    <t>-</t>
  </si>
  <si>
    <t xml:space="preserve">     Capital Work in Progress</t>
  </si>
  <si>
    <t xml:space="preserve">     Current Assets</t>
  </si>
  <si>
    <t xml:space="preserve">     Current Liabilities</t>
  </si>
  <si>
    <t>Total</t>
  </si>
  <si>
    <t xml:space="preserve">     Share Capital</t>
  </si>
  <si>
    <t xml:space="preserve">     Retained Earnings</t>
  </si>
  <si>
    <t xml:space="preserve">     Other Reserves &amp; Consumer Contributions</t>
  </si>
  <si>
    <t xml:space="preserve">     Long Term Debt</t>
  </si>
  <si>
    <t xml:space="preserve">     Other Long Term Liabilities</t>
  </si>
  <si>
    <t>Summarised Income Statement (EC$000's)</t>
  </si>
  <si>
    <t>Operating Revenues</t>
  </si>
  <si>
    <t xml:space="preserve">    </t>
  </si>
  <si>
    <t xml:space="preserve">     Electricity</t>
  </si>
  <si>
    <t xml:space="preserve">     Fuel Surcharge</t>
  </si>
  <si>
    <t xml:space="preserve">     Other</t>
  </si>
  <si>
    <t>Operating Costs</t>
  </si>
  <si>
    <t xml:space="preserve">     Fuel</t>
  </si>
  <si>
    <t xml:space="preserve">     Generation</t>
  </si>
  <si>
    <t xml:space="preserve">     Transmission &amp; Distribution</t>
  </si>
  <si>
    <t xml:space="preserve">     Administrative &amp; Selling</t>
  </si>
  <si>
    <t xml:space="preserve">     Depreciation and amortisation</t>
  </si>
  <si>
    <t>Operating Income</t>
  </si>
  <si>
    <t xml:space="preserve">     Interest Expense (net)</t>
  </si>
  <si>
    <t xml:space="preserve">     Other Gains (net)</t>
  </si>
  <si>
    <t>Net Income before Tax</t>
  </si>
  <si>
    <t xml:space="preserve">     Taxation</t>
  </si>
  <si>
    <t>Net Income after Tax</t>
  </si>
  <si>
    <t>Other Comprehensive income</t>
  </si>
  <si>
    <t>Dividend Declared</t>
  </si>
  <si>
    <t>Retained Earnings for Year</t>
  </si>
  <si>
    <t>Retained Earnings beginning of Year</t>
  </si>
  <si>
    <t>Transfer from/(to) Reserves</t>
  </si>
  <si>
    <t>Tariff Reduction Reserve</t>
  </si>
  <si>
    <t>Prior Year Adjustment</t>
  </si>
  <si>
    <t>Retained Earnings end of Year</t>
  </si>
  <si>
    <t>Rate of Return</t>
  </si>
  <si>
    <t>Earnings per share (EC$)</t>
  </si>
  <si>
    <t>Dividend per share (EC$)</t>
  </si>
  <si>
    <t>Debt/Equity Ratio</t>
  </si>
  <si>
    <t>43/57</t>
  </si>
  <si>
    <t>40/60</t>
  </si>
  <si>
    <t>45/55</t>
  </si>
  <si>
    <t>50/50</t>
  </si>
  <si>
    <t>53/47</t>
  </si>
  <si>
    <t>48/52</t>
  </si>
  <si>
    <t>Capital expenditure (EC$000's)</t>
  </si>
  <si>
    <t>debt</t>
  </si>
  <si>
    <t>Equity</t>
  </si>
  <si>
    <t>total capital</t>
  </si>
  <si>
    <t>Debt</t>
  </si>
  <si>
    <t>Equity ratio</t>
  </si>
  <si>
    <t>Net profit</t>
  </si>
  <si>
    <t>Average equity</t>
  </si>
  <si>
    <t>ROE</t>
  </si>
  <si>
    <t xml:space="preserve">            25/75</t>
  </si>
  <si>
    <t xml:space="preserve">            30/70</t>
  </si>
  <si>
    <t xml:space="preserve">           35/65</t>
  </si>
  <si>
    <t xml:space="preserve">           39/61</t>
  </si>
  <si>
    <t xml:space="preserve">          43/57</t>
  </si>
  <si>
    <t xml:space="preserve">           47/53</t>
  </si>
  <si>
    <t xml:space="preserve">          40/60</t>
  </si>
  <si>
    <t xml:space="preserve">          36/64</t>
  </si>
  <si>
    <t xml:space="preserve">          39/61</t>
  </si>
  <si>
    <t xml:space="preserve">         41/59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</si>
</sst>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_);[Red]\(0\)"/>
    <numFmt numFmtId="167" formatCode="#,##0;[Red]#,##0"/>
    <numFmt numFmtId="168" formatCode="_-* #,##0.0_-;\-* #,##0.0_-;_-* &quot;-&quot;??_-;_-@_-"/>
    <numFmt numFmtId="169" formatCode="0.0"/>
    <numFmt numFmtId="170" formatCode="#,##0.0_);\(#,##0.0\)"/>
    <numFmt numFmtId="171" formatCode="#,##0.0_);[Red]\(#,##0.0\)"/>
    <numFmt numFmtId="172" formatCode="#,##0.0"/>
    <numFmt numFmtId="173" formatCode="0.0_);\(0.0\)"/>
    <numFmt numFmtId="174" formatCode="_(* #,##0_);_(* \(#,##0\);_(* &quot;-&quot;??_);_(@_)"/>
    <numFmt numFmtId="175" formatCode="0_);\(0\)"/>
    <numFmt numFmtId="176" formatCode="_-&quot;$&quot;* #,##0.00_-;\-&quot;$&quot;* #,##0.00_-;_-&quot;$&quot;* &quot;-&quot;??_-;_-@_-"/>
    <numFmt numFmtId="177" formatCode="&quot;$&quot;#,##0.00"/>
    <numFmt numFmtId="178" formatCode="0.0%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38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1" applyNumberFormat="1" applyFont="1" applyFill="1"/>
    <xf numFmtId="0" fontId="2" fillId="0" borderId="0" xfId="0" applyFont="1"/>
    <xf numFmtId="0" fontId="2" fillId="0" borderId="0" xfId="0" quotePrefix="1" applyFont="1" applyAlignment="1">
      <alignment horizontal="right"/>
    </xf>
    <xf numFmtId="166" fontId="2" fillId="0" borderId="0" xfId="0" applyNumberFormat="1" applyFont="1" applyAlignment="1">
      <alignment horizontal="right"/>
    </xf>
    <xf numFmtId="1" fontId="2" fillId="0" borderId="0" xfId="0" applyNumberFormat="1" applyFont="1"/>
    <xf numFmtId="165" fontId="1" fillId="0" borderId="0" xfId="1" applyNumberFormat="1" applyFont="1"/>
    <xf numFmtId="165" fontId="1" fillId="0" borderId="0" xfId="1" applyNumberFormat="1" applyFont="1" applyFill="1"/>
    <xf numFmtId="37" fontId="1" fillId="0" borderId="0" xfId="0" applyNumberFormat="1" applyFont="1"/>
    <xf numFmtId="3" fontId="1" fillId="0" borderId="0" xfId="0" applyNumberFormat="1" applyFont="1"/>
    <xf numFmtId="38" fontId="1" fillId="0" borderId="0" xfId="0" applyNumberFormat="1" applyFont="1" applyAlignment="1">
      <alignment vertical="justify"/>
    </xf>
    <xf numFmtId="167" fontId="1" fillId="0" borderId="0" xfId="0" applyNumberFormat="1" applyFont="1"/>
    <xf numFmtId="168" fontId="1" fillId="0" borderId="0" xfId="1" applyNumberFormat="1" applyFont="1" applyFill="1"/>
    <xf numFmtId="168" fontId="1" fillId="0" borderId="0" xfId="1" applyNumberFormat="1" applyFont="1"/>
    <xf numFmtId="169" fontId="1" fillId="0" borderId="0" xfId="0" applyNumberFormat="1" applyFont="1"/>
    <xf numFmtId="169" fontId="1" fillId="0" borderId="0" xfId="0" applyNumberFormat="1" applyFont="1" applyAlignment="1">
      <alignment vertical="justify"/>
    </xf>
    <xf numFmtId="170" fontId="1" fillId="0" borderId="0" xfId="0" applyNumberFormat="1" applyFont="1" applyFill="1"/>
    <xf numFmtId="171" fontId="1" fillId="0" borderId="0" xfId="0" applyNumberFormat="1" applyFont="1" applyAlignment="1">
      <alignment vertical="justify"/>
    </xf>
    <xf numFmtId="172" fontId="1" fillId="0" borderId="0" xfId="0" applyNumberFormat="1" applyFont="1"/>
    <xf numFmtId="0" fontId="1" fillId="0" borderId="0" xfId="0" applyFont="1" applyFill="1"/>
    <xf numFmtId="168" fontId="1" fillId="0" borderId="0" xfId="1" applyNumberFormat="1" applyFont="1" applyFill="1" applyAlignment="1">
      <alignment horizontal="right"/>
    </xf>
    <xf numFmtId="173" fontId="1" fillId="0" borderId="0" xfId="0" applyNumberFormat="1" applyFont="1" applyFill="1" applyAlignment="1">
      <alignment horizontal="right"/>
    </xf>
    <xf numFmtId="173" fontId="1" fillId="0" borderId="0" xfId="0" applyNumberFormat="1" applyFont="1" applyAlignment="1">
      <alignment horizontal="right"/>
    </xf>
    <xf numFmtId="165" fontId="2" fillId="0" borderId="0" xfId="1" applyNumberFormat="1" applyFont="1" applyFill="1"/>
    <xf numFmtId="38" fontId="2" fillId="0" borderId="0" xfId="0" applyNumberFormat="1" applyFont="1" applyAlignment="1">
      <alignment vertical="justify"/>
    </xf>
    <xf numFmtId="3" fontId="2" fillId="0" borderId="0" xfId="0" applyNumberFormat="1" applyFont="1"/>
    <xf numFmtId="37" fontId="1" fillId="0" borderId="0" xfId="1" applyNumberFormat="1" applyFont="1" applyFill="1"/>
    <xf numFmtId="37" fontId="1" fillId="0" borderId="0" xfId="1" applyNumberFormat="1" applyFont="1"/>
    <xf numFmtId="37" fontId="1" fillId="0" borderId="0" xfId="0" applyNumberFormat="1" applyFont="1" applyFill="1"/>
    <xf numFmtId="174" fontId="0" fillId="0" borderId="0" xfId="1" applyNumberFormat="1" applyFont="1" applyFill="1" applyAlignment="1">
      <alignment vertical="center" wrapText="1"/>
    </xf>
    <xf numFmtId="3" fontId="1" fillId="0" borderId="0" xfId="0" applyNumberFormat="1" applyFont="1" applyAlignment="1">
      <alignment horizontal="right"/>
    </xf>
    <xf numFmtId="41" fontId="1" fillId="0" borderId="0" xfId="0" applyNumberFormat="1" applyFont="1"/>
    <xf numFmtId="37" fontId="1" fillId="0" borderId="0" xfId="0" applyNumberFormat="1" applyFont="1" applyAlignment="1">
      <alignment vertical="justify"/>
    </xf>
    <xf numFmtId="37" fontId="1" fillId="0" borderId="1" xfId="0" applyNumberFormat="1" applyFont="1" applyBorder="1"/>
    <xf numFmtId="37" fontId="1" fillId="0" borderId="2" xfId="1" applyNumberFormat="1" applyFont="1" applyFill="1" applyBorder="1"/>
    <xf numFmtId="165" fontId="1" fillId="0" borderId="2" xfId="1" applyNumberFormat="1" applyFont="1" applyFill="1" applyBorder="1"/>
    <xf numFmtId="165" fontId="1" fillId="0" borderId="2" xfId="1" applyNumberFormat="1" applyFont="1" applyBorder="1"/>
    <xf numFmtId="3" fontId="1" fillId="0" borderId="2" xfId="0" applyNumberFormat="1" applyFont="1" applyBorder="1" applyAlignment="1">
      <alignment vertical="justify"/>
    </xf>
    <xf numFmtId="3" fontId="1" fillId="0" borderId="2" xfId="0" applyNumberFormat="1" applyFont="1" applyBorder="1"/>
    <xf numFmtId="3" fontId="1" fillId="0" borderId="1" xfId="0" applyNumberFormat="1" applyFont="1" applyBorder="1"/>
    <xf numFmtId="37" fontId="0" fillId="0" borderId="0" xfId="0" applyNumberFormat="1"/>
    <xf numFmtId="37" fontId="0" fillId="0" borderId="0" xfId="0" applyNumberFormat="1" applyFill="1"/>
    <xf numFmtId="37" fontId="0" fillId="0" borderId="0" xfId="1" applyNumberFormat="1" applyFont="1" applyFill="1"/>
    <xf numFmtId="0" fontId="0" fillId="0" borderId="0" xfId="0" applyFill="1"/>
    <xf numFmtId="165" fontId="0" fillId="0" borderId="0" xfId="1" applyNumberFormat="1" applyFont="1"/>
    <xf numFmtId="38" fontId="0" fillId="0" borderId="0" xfId="0" applyNumberFormat="1" applyAlignment="1">
      <alignment vertical="justify"/>
    </xf>
    <xf numFmtId="3" fontId="0" fillId="0" borderId="0" xfId="0" applyNumberFormat="1"/>
    <xf numFmtId="165" fontId="1" fillId="0" borderId="0" xfId="1" applyNumberFormat="1" applyFont="1" applyFill="1" applyBorder="1"/>
    <xf numFmtId="0" fontId="1" fillId="0" borderId="0" xfId="4" applyFont="1"/>
    <xf numFmtId="37" fontId="1" fillId="0" borderId="0" xfId="0" applyNumberFormat="1" applyFont="1" applyAlignment="1">
      <alignment horizontal="right"/>
    </xf>
    <xf numFmtId="37" fontId="1" fillId="0" borderId="1" xfId="0" applyNumberFormat="1" applyFont="1" applyFill="1" applyBorder="1"/>
    <xf numFmtId="37" fontId="1" fillId="0" borderId="2" xfId="0" applyNumberFormat="1" applyFont="1" applyFill="1" applyBorder="1"/>
    <xf numFmtId="3" fontId="1" fillId="0" borderId="0" xfId="0" applyNumberFormat="1" applyFont="1" applyFill="1" applyBorder="1"/>
    <xf numFmtId="165" fontId="0" fillId="0" borderId="0" xfId="0" applyNumberFormat="1" applyFill="1"/>
    <xf numFmtId="37" fontId="2" fillId="0" borderId="0" xfId="0" applyNumberFormat="1" applyFont="1"/>
    <xf numFmtId="37" fontId="2" fillId="0" borderId="0" xfId="0" applyNumberFormat="1" applyFont="1" applyFill="1"/>
    <xf numFmtId="37" fontId="2" fillId="0" borderId="0" xfId="1" applyNumberFormat="1" applyFont="1" applyFill="1"/>
    <xf numFmtId="165" fontId="2" fillId="0" borderId="0" xfId="0" applyNumberFormat="1" applyFont="1" applyFill="1"/>
    <xf numFmtId="165" fontId="2" fillId="0" borderId="0" xfId="1" applyNumberFormat="1" applyFont="1"/>
    <xf numFmtId="165" fontId="1" fillId="0" borderId="0" xfId="0" applyNumberFormat="1" applyFont="1" applyFill="1"/>
    <xf numFmtId="39" fontId="2" fillId="0" borderId="0" xfId="1" applyNumberFormat="1" applyFont="1"/>
    <xf numFmtId="165" fontId="0" fillId="0" borderId="0" xfId="0" applyNumberFormat="1"/>
    <xf numFmtId="37" fontId="1" fillId="0" borderId="0" xfId="1" applyNumberFormat="1" applyFont="1" applyFill="1" applyBorder="1"/>
    <xf numFmtId="167" fontId="1" fillId="0" borderId="1" xfId="0" applyNumberFormat="1" applyFont="1" applyBorder="1"/>
    <xf numFmtId="38" fontId="1" fillId="0" borderId="2" xfId="0" applyNumberFormat="1" applyFont="1" applyBorder="1" applyAlignment="1">
      <alignment vertical="justify"/>
    </xf>
    <xf numFmtId="167" fontId="1" fillId="0" borderId="2" xfId="0" applyNumberFormat="1" applyFont="1" applyBorder="1"/>
    <xf numFmtId="165" fontId="0" fillId="0" borderId="0" xfId="1" applyNumberFormat="1" applyFont="1" applyFill="1"/>
    <xf numFmtId="167" fontId="0" fillId="0" borderId="0" xfId="0" applyNumberFormat="1" applyBorder="1"/>
    <xf numFmtId="167" fontId="1" fillId="0" borderId="0" xfId="0" applyNumberFormat="1" applyFont="1" applyBorder="1"/>
    <xf numFmtId="165" fontId="1" fillId="0" borderId="0" xfId="1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43" fontId="0" fillId="0" borderId="0" xfId="1" applyNumberFormat="1" applyFont="1" applyFill="1"/>
    <xf numFmtId="165" fontId="1" fillId="0" borderId="0" xfId="0" applyNumberFormat="1" applyFont="1"/>
    <xf numFmtId="3" fontId="1" fillId="0" borderId="0" xfId="0" applyNumberFormat="1" applyFont="1" applyAlignment="1">
      <alignment vertical="justify"/>
    </xf>
    <xf numFmtId="37" fontId="1" fillId="0" borderId="1" xfId="1" applyNumberFormat="1" applyFont="1" applyFill="1" applyBorder="1"/>
    <xf numFmtId="175" fontId="1" fillId="0" borderId="1" xfId="1" applyNumberFormat="1" applyFont="1" applyBorder="1"/>
    <xf numFmtId="38" fontId="1" fillId="0" borderId="1" xfId="0" applyNumberFormat="1" applyFont="1" applyBorder="1" applyAlignment="1">
      <alignment vertical="justify"/>
    </xf>
    <xf numFmtId="175" fontId="1" fillId="0" borderId="1" xfId="0" applyNumberFormat="1" applyFont="1" applyBorder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1" fillId="0" borderId="3" xfId="0" applyNumberFormat="1" applyFont="1" applyBorder="1" applyAlignment="1">
      <alignment vertical="justify"/>
    </xf>
    <xf numFmtId="38" fontId="1" fillId="0" borderId="3" xfId="0" applyNumberFormat="1" applyFont="1" applyBorder="1" applyAlignment="1">
      <alignment vertical="justify"/>
    </xf>
    <xf numFmtId="3" fontId="1" fillId="0" borderId="3" xfId="0" applyNumberFormat="1" applyFont="1" applyBorder="1"/>
    <xf numFmtId="165" fontId="1" fillId="0" borderId="1" xfId="1" applyNumberFormat="1" applyFont="1" applyFill="1" applyBorder="1"/>
    <xf numFmtId="165" fontId="1" fillId="0" borderId="1" xfId="1" applyNumberFormat="1" applyFont="1" applyBorder="1"/>
    <xf numFmtId="165" fontId="1" fillId="0" borderId="3" xfId="1" applyNumberFormat="1" applyFont="1" applyFill="1" applyBorder="1"/>
    <xf numFmtId="175" fontId="1" fillId="0" borderId="0" xfId="0" applyNumberFormat="1" applyFont="1" applyFill="1"/>
    <xf numFmtId="0" fontId="1" fillId="0" borderId="0" xfId="4" applyFont="1" applyFill="1"/>
    <xf numFmtId="37" fontId="1" fillId="0" borderId="0" xfId="0" quotePrefix="1" applyNumberFormat="1" applyFont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37" fontId="1" fillId="0" borderId="0" xfId="1" applyNumberFormat="1" applyFont="1" applyAlignment="1">
      <alignment horizontal="right"/>
    </xf>
    <xf numFmtId="10" fontId="1" fillId="0" borderId="0" xfId="0" applyNumberFormat="1" applyFont="1" applyFill="1"/>
    <xf numFmtId="10" fontId="1" fillId="0" borderId="0" xfId="3" applyNumberFormat="1" applyFont="1"/>
    <xf numFmtId="10" fontId="1" fillId="0" borderId="0" xfId="0" applyNumberFormat="1" applyFont="1"/>
    <xf numFmtId="10" fontId="1" fillId="0" borderId="0" xfId="0" applyNumberFormat="1" applyFont="1" applyAlignment="1">
      <alignment vertical="justify"/>
    </xf>
    <xf numFmtId="39" fontId="1" fillId="0" borderId="0" xfId="2" applyNumberFormat="1" applyFont="1" applyFill="1" applyAlignment="1"/>
    <xf numFmtId="39" fontId="1" fillId="0" borderId="0" xfId="2" applyNumberFormat="1" applyFont="1" applyFill="1"/>
    <xf numFmtId="176" fontId="1" fillId="0" borderId="0" xfId="2" applyFont="1" applyFill="1"/>
    <xf numFmtId="176" fontId="1" fillId="0" borderId="0" xfId="2" applyFont="1"/>
    <xf numFmtId="177" fontId="1" fillId="0" borderId="0" xfId="0" applyNumberFormat="1" applyFont="1" applyAlignment="1">
      <alignment vertical="justify"/>
    </xf>
    <xf numFmtId="177" fontId="1" fillId="0" borderId="0" xfId="0" applyNumberFormat="1" applyFont="1"/>
    <xf numFmtId="0" fontId="1" fillId="0" borderId="0" xfId="0" applyFont="1" applyAlignment="1">
      <alignment horizontal="right"/>
    </xf>
    <xf numFmtId="177" fontId="1" fillId="0" borderId="0" xfId="0" quotePrefix="1" applyNumberFormat="1" applyFont="1" applyAlignment="1">
      <alignment horizontal="right"/>
    </xf>
    <xf numFmtId="0" fontId="0" fillId="0" borderId="0" xfId="0" applyBorder="1"/>
    <xf numFmtId="37" fontId="1" fillId="0" borderId="0" xfId="0" applyNumberFormat="1" applyFont="1" applyFill="1" applyAlignment="1">
      <alignment horizontal="right"/>
    </xf>
    <xf numFmtId="5" fontId="1" fillId="0" borderId="0" xfId="0" applyNumberFormat="1" applyFont="1" applyAlignment="1">
      <alignment horizontal="right"/>
    </xf>
    <xf numFmtId="5" fontId="1" fillId="0" borderId="0" xfId="0" quotePrefix="1" applyNumberFormat="1" applyFont="1" applyAlignment="1">
      <alignment horizontal="right"/>
    </xf>
    <xf numFmtId="0" fontId="2" fillId="0" borderId="0" xfId="0" applyFont="1" applyFill="1" applyAlignment="1"/>
    <xf numFmtId="38" fontId="0" fillId="0" borderId="0" xfId="0" applyNumberFormat="1" applyAlignment="1">
      <alignment horizontal="right"/>
    </xf>
    <xf numFmtId="0" fontId="3" fillId="0" borderId="0" xfId="0" applyFont="1"/>
    <xf numFmtId="4" fontId="0" fillId="0" borderId="0" xfId="1" applyNumberFormat="1" applyFont="1" applyFill="1"/>
    <xf numFmtId="4" fontId="0" fillId="0" borderId="0" xfId="1" applyNumberFormat="1" applyFont="1"/>
    <xf numFmtId="4" fontId="0" fillId="0" borderId="0" xfId="0" applyNumberFormat="1"/>
    <xf numFmtId="178" fontId="0" fillId="0" borderId="0" xfId="3" applyNumberFormat="1" applyFont="1"/>
    <xf numFmtId="178" fontId="0" fillId="0" borderId="0" xfId="0" applyNumberFormat="1" applyAlignment="1">
      <alignment horizontal="right"/>
    </xf>
    <xf numFmtId="178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6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91"/>
  <sheetViews>
    <sheetView tabSelected="1" workbookViewId="0">
      <pane ySplit="3" topLeftCell="A4" activePane="bottomLeft" state="frozen"/>
      <selection pane="bottomLeft" activeCell="D66" sqref="D66"/>
    </sheetView>
  </sheetViews>
  <sheetFormatPr defaultRowHeight="12.75" x14ac:dyDescent="0.2"/>
  <cols>
    <col min="1" max="1" width="39.5703125" customWidth="1"/>
    <col min="2" max="2" width="13.5703125" customWidth="1"/>
    <col min="3" max="3" width="13.28515625" customWidth="1"/>
    <col min="4" max="4" width="12.42578125" customWidth="1"/>
    <col min="5" max="5" width="13" customWidth="1"/>
    <col min="6" max="6" width="12.28515625" customWidth="1"/>
    <col min="7" max="7" width="12.42578125" customWidth="1"/>
    <col min="8" max="8" width="12.28515625" style="53" customWidth="1"/>
    <col min="9" max="9" width="12.28515625" style="29" customWidth="1"/>
    <col min="10" max="10" width="12.28515625" style="76" customWidth="1"/>
    <col min="11" max="11" width="12.28515625" customWidth="1"/>
    <col min="12" max="14" width="12.28515625" hidden="1" customWidth="1"/>
    <col min="15" max="15" width="12.28515625" style="117" hidden="1" customWidth="1"/>
    <col min="16" max="16" width="10.140625" style="56" hidden="1" customWidth="1"/>
    <col min="17" max="18" width="10.140625" hidden="1" customWidth="1"/>
    <col min="19" max="19" width="0" hidden="1" customWidth="1"/>
    <col min="20" max="20" width="0.140625" customWidth="1"/>
    <col min="21" max="21" width="12" customWidth="1"/>
  </cols>
  <sheetData>
    <row r="1" spans="1:21" x14ac:dyDescent="0.2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21" x14ac:dyDescent="0.2">
      <c r="A2" s="1"/>
      <c r="B2" s="1"/>
      <c r="C2" s="1"/>
      <c r="D2" s="1"/>
      <c r="E2" s="1"/>
      <c r="F2" s="2"/>
      <c r="G2" s="2"/>
      <c r="H2" s="3"/>
      <c r="I2" s="3"/>
      <c r="J2" s="4"/>
      <c r="K2" s="1"/>
      <c r="L2" s="1"/>
      <c r="M2" s="1"/>
      <c r="N2" s="1"/>
      <c r="O2" s="5"/>
      <c r="P2" s="6"/>
      <c r="Q2" s="1"/>
      <c r="R2" s="1"/>
      <c r="S2" s="1"/>
    </row>
    <row r="3" spans="1:21" ht="25.5" x14ac:dyDescent="0.2">
      <c r="A3" s="7"/>
      <c r="B3" s="8">
        <v>2017</v>
      </c>
      <c r="C3" s="8">
        <v>2016</v>
      </c>
      <c r="D3" s="9" t="s">
        <v>1</v>
      </c>
      <c r="E3" s="8">
        <v>2014</v>
      </c>
      <c r="F3" s="10" t="s">
        <v>2</v>
      </c>
      <c r="G3" s="10" t="s">
        <v>3</v>
      </c>
      <c r="H3" s="8">
        <v>2011</v>
      </c>
      <c r="I3" s="11">
        <v>2010</v>
      </c>
      <c r="J3" s="11">
        <v>2009</v>
      </c>
      <c r="K3" s="12">
        <v>2008</v>
      </c>
      <c r="L3" s="13" t="s">
        <v>4</v>
      </c>
      <c r="M3" s="13" t="s">
        <v>5</v>
      </c>
      <c r="N3" s="12">
        <v>2005</v>
      </c>
      <c r="O3" s="14">
        <v>2004</v>
      </c>
      <c r="P3" s="15">
        <v>2003</v>
      </c>
      <c r="Q3" s="12">
        <v>2002</v>
      </c>
      <c r="R3" s="12">
        <v>2001</v>
      </c>
      <c r="S3" s="12">
        <v>2000</v>
      </c>
    </row>
    <row r="4" spans="1:21" x14ac:dyDescent="0.2">
      <c r="A4" s="7" t="s">
        <v>6</v>
      </c>
      <c r="B4" s="16">
        <v>359653.45699999999</v>
      </c>
      <c r="C4" s="16">
        <v>348229</v>
      </c>
      <c r="D4" s="16">
        <v>337539.97600000002</v>
      </c>
      <c r="E4" s="16">
        <v>331939</v>
      </c>
      <c r="F4" s="16">
        <v>334479</v>
      </c>
      <c r="G4" s="16">
        <v>333324</v>
      </c>
      <c r="H4" s="17">
        <v>333378</v>
      </c>
      <c r="I4" s="17">
        <f>330729161/1000</f>
        <v>330729.16100000002</v>
      </c>
      <c r="J4" s="17">
        <v>315081.65000000002</v>
      </c>
      <c r="K4" s="18">
        <v>301975.39</v>
      </c>
      <c r="L4" s="16">
        <v>297841</v>
      </c>
      <c r="M4" s="16">
        <v>284398</v>
      </c>
      <c r="N4" s="19">
        <v>277399</v>
      </c>
      <c r="O4" s="20">
        <v>266402.41700000002</v>
      </c>
      <c r="P4" s="19">
        <v>252120</v>
      </c>
      <c r="Q4" s="21">
        <v>239387</v>
      </c>
      <c r="R4" s="21">
        <v>243417</v>
      </c>
      <c r="S4" s="19">
        <v>234080</v>
      </c>
    </row>
    <row r="5" spans="1:21" x14ac:dyDescent="0.2">
      <c r="A5" s="7" t="s">
        <v>7</v>
      </c>
      <c r="B5" s="22">
        <f t="shared" ref="B5:L5" si="0">B29/B4*100</f>
        <v>74.879858585649572</v>
      </c>
      <c r="C5" s="22">
        <f t="shared" si="0"/>
        <v>91.606672620603121</v>
      </c>
      <c r="D5" s="22">
        <f t="shared" si="0"/>
        <v>97.697168764389559</v>
      </c>
      <c r="E5" s="22">
        <f t="shared" si="0"/>
        <v>98.683794311605439</v>
      </c>
      <c r="F5" s="22">
        <f t="shared" si="0"/>
        <v>98.282702352016116</v>
      </c>
      <c r="G5" s="22">
        <f t="shared" si="0"/>
        <v>95.482173500858025</v>
      </c>
      <c r="H5" s="22">
        <f t="shared" si="0"/>
        <v>84.041838393655254</v>
      </c>
      <c r="I5" s="22">
        <f t="shared" si="0"/>
        <v>74.969319986875902</v>
      </c>
      <c r="J5" s="22">
        <f t="shared" si="0"/>
        <v>75.137666696870468</v>
      </c>
      <c r="K5" s="23">
        <f t="shared" si="0"/>
        <v>80.698960269576929</v>
      </c>
      <c r="L5" s="23">
        <f t="shared" si="0"/>
        <v>77.475565822032564</v>
      </c>
      <c r="M5" s="7">
        <v>67.400000000000006</v>
      </c>
      <c r="N5" s="24">
        <v>40.799999999999997</v>
      </c>
      <c r="O5" s="25">
        <v>41.7</v>
      </c>
      <c r="P5" s="24">
        <v>41</v>
      </c>
      <c r="Q5" s="24">
        <v>41</v>
      </c>
      <c r="R5" s="24">
        <v>41.3</v>
      </c>
      <c r="S5" s="24">
        <v>41.2</v>
      </c>
    </row>
    <row r="6" spans="1:21" x14ac:dyDescent="0.2">
      <c r="A6" s="7" t="s">
        <v>8</v>
      </c>
      <c r="B6" s="26">
        <f>B30/B4*100</f>
        <v>2.6895334416318426</v>
      </c>
      <c r="C6" s="26">
        <f>C30/C4*100</f>
        <v>-16.975898044103165</v>
      </c>
      <c r="D6" s="26">
        <f>D30/D4*100</f>
        <v>-6.1083135231365899</v>
      </c>
      <c r="E6" s="26">
        <f>E30/E4*100</f>
        <v>-1.1059260888295741</v>
      </c>
      <c r="F6" s="22">
        <f>F30/F4*100</f>
        <v>0.35039569001342386</v>
      </c>
      <c r="G6" s="22">
        <f t="shared" ref="G6:L6" si="1">G30/G4*100</f>
        <v>6.6250855023940662</v>
      </c>
      <c r="H6" s="22">
        <f t="shared" si="1"/>
        <v>11.753924974053477</v>
      </c>
      <c r="I6" s="22">
        <f t="shared" si="1"/>
        <v>8.1359623441248345</v>
      </c>
      <c r="J6" s="22">
        <f t="shared" si="1"/>
        <v>6.3247098014117924E-3</v>
      </c>
      <c r="K6" s="23">
        <f t="shared" si="1"/>
        <v>19.024160187358312</v>
      </c>
      <c r="L6" s="23">
        <f t="shared" si="1"/>
        <v>3.4172595445220768</v>
      </c>
      <c r="M6" s="7">
        <v>12.3</v>
      </c>
      <c r="N6" s="27">
        <v>32.1</v>
      </c>
      <c r="O6" s="27">
        <v>22.6</v>
      </c>
      <c r="P6" s="28">
        <v>18.3</v>
      </c>
      <c r="Q6" s="24">
        <v>14.9</v>
      </c>
      <c r="R6" s="24">
        <v>16.600000000000001</v>
      </c>
      <c r="S6" s="24">
        <v>18.7</v>
      </c>
    </row>
    <row r="7" spans="1:21" x14ac:dyDescent="0.2">
      <c r="A7" s="29" t="s">
        <v>9</v>
      </c>
      <c r="B7" s="30">
        <f t="shared" ref="B7:R7" si="2">B42/B4*100</f>
        <v>63.865923023784532</v>
      </c>
      <c r="C7" s="30">
        <f t="shared" si="2"/>
        <v>59.401428370411423</v>
      </c>
      <c r="D7" s="30">
        <f t="shared" si="2"/>
        <v>77.424310772600151</v>
      </c>
      <c r="E7" s="30">
        <f t="shared" si="2"/>
        <v>84.129915436269926</v>
      </c>
      <c r="F7" s="30">
        <f t="shared" si="2"/>
        <v>85.242421796286166</v>
      </c>
      <c r="G7" s="30">
        <f t="shared" si="2"/>
        <v>88.777585772401622</v>
      </c>
      <c r="H7" s="30">
        <f t="shared" si="2"/>
        <v>82.803922274415228</v>
      </c>
      <c r="I7" s="31">
        <f t="shared" si="2"/>
        <v>69.117279924403149</v>
      </c>
      <c r="J7" s="31">
        <f t="shared" si="2"/>
        <v>61.39551446426664</v>
      </c>
      <c r="K7" s="32">
        <f t="shared" si="2"/>
        <v>86.130672353796783</v>
      </c>
      <c r="L7" s="32">
        <f t="shared" si="2"/>
        <v>66.251456313939315</v>
      </c>
      <c r="M7" s="32">
        <f t="shared" si="2"/>
        <v>65.212483913388979</v>
      </c>
      <c r="N7" s="32">
        <f t="shared" si="2"/>
        <v>59.188998518379663</v>
      </c>
      <c r="O7" s="32">
        <f t="shared" si="2"/>
        <v>25.268496719382238</v>
      </c>
      <c r="P7" s="32">
        <f t="shared" si="2"/>
        <v>26.522749087735995</v>
      </c>
      <c r="Q7" s="32">
        <f t="shared" si="2"/>
        <v>27.436326951755944</v>
      </c>
      <c r="R7" s="32">
        <f t="shared" si="2"/>
        <v>26.1366297341599</v>
      </c>
      <c r="S7" s="32">
        <v>43.624401913875602</v>
      </c>
    </row>
    <row r="8" spans="1:21" x14ac:dyDescent="0.2">
      <c r="A8" s="12" t="s">
        <v>10</v>
      </c>
      <c r="B8" s="12"/>
      <c r="C8" s="12"/>
      <c r="D8" s="12"/>
      <c r="E8" s="12"/>
      <c r="F8" s="12"/>
      <c r="G8" s="12"/>
      <c r="H8" s="33"/>
      <c r="I8" s="8"/>
      <c r="J8" s="33"/>
      <c r="K8" s="12"/>
      <c r="L8" s="12"/>
      <c r="M8" s="12"/>
      <c r="N8" s="12"/>
      <c r="O8" s="34"/>
      <c r="P8" s="35"/>
      <c r="Q8" s="7"/>
      <c r="R8" s="7"/>
      <c r="S8" s="19"/>
    </row>
    <row r="9" spans="1:21" x14ac:dyDescent="0.2">
      <c r="A9" s="7"/>
      <c r="B9" s="7"/>
      <c r="C9" s="7"/>
      <c r="D9" s="7"/>
      <c r="E9" s="7"/>
      <c r="F9" s="7"/>
      <c r="G9" s="7"/>
      <c r="H9" s="17"/>
      <c r="J9" s="17"/>
      <c r="K9" s="7"/>
      <c r="L9" s="7"/>
      <c r="M9" s="7"/>
      <c r="N9" s="7"/>
      <c r="O9" s="20"/>
      <c r="P9" s="19"/>
      <c r="Q9" s="7"/>
      <c r="R9" s="7"/>
      <c r="S9" s="19"/>
    </row>
    <row r="10" spans="1:21" x14ac:dyDescent="0.2">
      <c r="A10" s="29" t="s">
        <v>11</v>
      </c>
      <c r="B10" s="36">
        <f>348357+12436-B13</f>
        <v>327219</v>
      </c>
      <c r="C10" s="36">
        <f>336182+11773-C13</f>
        <v>332804</v>
      </c>
      <c r="D10" s="36">
        <f>341492+13082-D13</f>
        <v>338838</v>
      </c>
      <c r="E10" s="36">
        <v>334388</v>
      </c>
      <c r="F10" s="37">
        <f>341886+15589-F13</f>
        <v>336395</v>
      </c>
      <c r="G10" s="37">
        <f>346868+15053-G13</f>
        <v>328030</v>
      </c>
      <c r="H10" s="38">
        <f>301000-H13</f>
        <v>250154.23200000002</v>
      </c>
      <c r="I10" s="38">
        <f>289877-I13</f>
        <v>273399.99800000002</v>
      </c>
      <c r="J10" s="36">
        <f>298127-9658.54+3811</f>
        <v>292279.46000000002</v>
      </c>
      <c r="K10" s="38">
        <v>292916.42499999999</v>
      </c>
      <c r="L10" s="17">
        <f>303124-L13</f>
        <v>296606</v>
      </c>
      <c r="M10" s="16">
        <f>278502-11055</f>
        <v>267447</v>
      </c>
      <c r="N10" s="19">
        <f>277169.483-9297.074</f>
        <v>267872.40899999999</v>
      </c>
      <c r="O10" s="20">
        <v>223932</v>
      </c>
      <c r="P10" s="19">
        <v>236991</v>
      </c>
      <c r="Q10" s="19">
        <v>250360</v>
      </c>
      <c r="R10" s="19">
        <v>243001</v>
      </c>
      <c r="S10" s="19">
        <v>248243</v>
      </c>
      <c r="U10" s="39"/>
    </row>
    <row r="11" spans="1:21" x14ac:dyDescent="0.2">
      <c r="A11" s="29" t="s">
        <v>12</v>
      </c>
      <c r="B11" s="69">
        <v>0</v>
      </c>
      <c r="C11" s="69">
        <v>0</v>
      </c>
      <c r="D11" s="69">
        <v>0</v>
      </c>
      <c r="E11" s="36">
        <v>4765</v>
      </c>
      <c r="F11" s="37">
        <f>3430-982</f>
        <v>2448</v>
      </c>
      <c r="G11" s="37">
        <f>4632-982</f>
        <v>3650</v>
      </c>
      <c r="H11" s="36">
        <v>9135</v>
      </c>
      <c r="I11" s="36">
        <f>9017013/1000</f>
        <v>9017.0130000000008</v>
      </c>
      <c r="J11" s="36">
        <v>8828</v>
      </c>
      <c r="K11" s="38">
        <v>8749</v>
      </c>
      <c r="L11" s="17">
        <v>7768</v>
      </c>
      <c r="M11" s="16">
        <v>2850</v>
      </c>
      <c r="N11" s="19">
        <v>2637</v>
      </c>
      <c r="O11" s="20">
        <v>2395</v>
      </c>
      <c r="P11" s="19">
        <v>1983</v>
      </c>
      <c r="Q11" s="19">
        <v>1520</v>
      </c>
      <c r="R11" s="19">
        <v>1083</v>
      </c>
      <c r="S11" s="19">
        <v>843</v>
      </c>
      <c r="U11" s="39"/>
    </row>
    <row r="12" spans="1:21" x14ac:dyDescent="0.2">
      <c r="A12" s="29" t="s">
        <v>13</v>
      </c>
      <c r="B12" s="69">
        <v>0</v>
      </c>
      <c r="C12" s="69">
        <v>0</v>
      </c>
      <c r="D12" s="36">
        <v>172</v>
      </c>
      <c r="E12" s="36">
        <v>171</v>
      </c>
      <c r="F12" s="37">
        <v>170</v>
      </c>
      <c r="G12" s="37">
        <v>168</v>
      </c>
      <c r="H12" s="36">
        <v>166</v>
      </c>
      <c r="I12" s="36">
        <f>163410/1000</f>
        <v>163.41</v>
      </c>
      <c r="J12" s="36">
        <v>8504</v>
      </c>
      <c r="K12" s="38">
        <v>5643</v>
      </c>
      <c r="L12" s="17">
        <v>3452</v>
      </c>
      <c r="M12" s="16">
        <v>2687</v>
      </c>
      <c r="N12" s="19">
        <v>1961</v>
      </c>
      <c r="O12" s="20">
        <v>1265.636</v>
      </c>
      <c r="P12" s="19">
        <v>610</v>
      </c>
      <c r="Q12" s="40" t="s">
        <v>14</v>
      </c>
      <c r="R12" s="40" t="s">
        <v>14</v>
      </c>
      <c r="S12" s="40" t="s">
        <v>14</v>
      </c>
    </row>
    <row r="13" spans="1:21" x14ac:dyDescent="0.2">
      <c r="A13" s="29" t="s">
        <v>15</v>
      </c>
      <c r="B13" s="36">
        <f>32001+1573</f>
        <v>33574</v>
      </c>
      <c r="C13" s="36">
        <f>250+14901</f>
        <v>15151</v>
      </c>
      <c r="D13" s="36">
        <f>234+15502</f>
        <v>15736</v>
      </c>
      <c r="E13" s="36">
        <v>17594</v>
      </c>
      <c r="F13" s="37">
        <f>20864+216</f>
        <v>21080</v>
      </c>
      <c r="G13" s="37">
        <f>33758+133</f>
        <v>33891</v>
      </c>
      <c r="H13" s="36">
        <f>45473.611+5372.157</f>
        <v>50845.767999999996</v>
      </c>
      <c r="I13" s="36">
        <f>15047.772+1429.23</f>
        <v>16477.002</v>
      </c>
      <c r="J13" s="36">
        <v>9658.5400000000009</v>
      </c>
      <c r="K13" s="38">
        <v>9582</v>
      </c>
      <c r="L13" s="17">
        <v>6518</v>
      </c>
      <c r="M13" s="16">
        <v>11055</v>
      </c>
      <c r="N13" s="19">
        <v>9297</v>
      </c>
      <c r="O13" s="20">
        <v>49930</v>
      </c>
      <c r="P13" s="19">
        <v>15896</v>
      </c>
      <c r="Q13" s="19">
        <v>5654</v>
      </c>
      <c r="R13" s="19">
        <v>19957</v>
      </c>
      <c r="S13" s="19">
        <v>13485</v>
      </c>
    </row>
    <row r="14" spans="1:21" x14ac:dyDescent="0.2">
      <c r="A14" s="29" t="s">
        <v>16</v>
      </c>
      <c r="B14" s="36">
        <v>131351</v>
      </c>
      <c r="C14" s="36">
        <v>131547</v>
      </c>
      <c r="D14" s="36">
        <f>136359-679</f>
        <v>135680</v>
      </c>
      <c r="E14" s="36">
        <v>161683</v>
      </c>
      <c r="F14" s="37">
        <v>130558</v>
      </c>
      <c r="G14" s="37">
        <v>142353</v>
      </c>
      <c r="H14" s="36">
        <v>124642</v>
      </c>
      <c r="I14" s="36">
        <f>99650492/1000+1</f>
        <v>99651.491999999998</v>
      </c>
      <c r="J14" s="36">
        <v>85079.519</v>
      </c>
      <c r="K14" s="38">
        <v>68527</v>
      </c>
      <c r="L14" s="17">
        <v>63419</v>
      </c>
      <c r="M14" s="16">
        <v>54460</v>
      </c>
      <c r="N14" s="19">
        <v>60000</v>
      </c>
      <c r="O14" s="20">
        <v>54878</v>
      </c>
      <c r="P14" s="19">
        <v>43519</v>
      </c>
      <c r="Q14" s="41">
        <v>44873</v>
      </c>
      <c r="R14" s="41">
        <v>47879</v>
      </c>
      <c r="S14" s="19">
        <v>45196</v>
      </c>
    </row>
    <row r="15" spans="1:21" x14ac:dyDescent="0.2">
      <c r="A15" s="29" t="s">
        <v>17</v>
      </c>
      <c r="B15" s="36">
        <v>-67546</v>
      </c>
      <c r="C15" s="36">
        <f>-47496</f>
        <v>-47496</v>
      </c>
      <c r="D15" s="36">
        <f>-51768+204-5</f>
        <v>-51569</v>
      </c>
      <c r="E15" s="36">
        <v>-84853</v>
      </c>
      <c r="F15" s="36">
        <v>-55418</v>
      </c>
      <c r="G15" s="36">
        <v>-75535</v>
      </c>
      <c r="H15" s="36">
        <v>-68511</v>
      </c>
      <c r="I15" s="36">
        <v>-68796</v>
      </c>
      <c r="J15" s="38">
        <v>-67635.005999999994</v>
      </c>
      <c r="K15" s="38">
        <v>-52483</v>
      </c>
      <c r="L15" s="36">
        <v>-57776</v>
      </c>
      <c r="M15" s="37">
        <v>-57545</v>
      </c>
      <c r="N15" s="18">
        <v>-66625</v>
      </c>
      <c r="O15" s="42">
        <v>-48165</v>
      </c>
      <c r="P15" s="18">
        <v>-35742.565000000002</v>
      </c>
      <c r="Q15" s="43">
        <v>-38144</v>
      </c>
      <c r="R15" s="43">
        <v>-46451</v>
      </c>
      <c r="S15" s="18">
        <v>-41751</v>
      </c>
    </row>
    <row r="16" spans="1:21" x14ac:dyDescent="0.2">
      <c r="A16" s="29" t="s">
        <v>18</v>
      </c>
      <c r="B16" s="44">
        <f t="shared" ref="B16:C16" si="3">SUM(B10:B15)</f>
        <v>424598</v>
      </c>
      <c r="C16" s="44">
        <f t="shared" si="3"/>
        <v>432006</v>
      </c>
      <c r="D16" s="44">
        <f t="shared" ref="D16:I16" si="4">SUM(D10:D15)</f>
        <v>438857</v>
      </c>
      <c r="E16" s="44">
        <f t="shared" si="4"/>
        <v>433748</v>
      </c>
      <c r="F16" s="44">
        <f t="shared" si="4"/>
        <v>435233</v>
      </c>
      <c r="G16" s="44">
        <f t="shared" si="4"/>
        <v>432557</v>
      </c>
      <c r="H16" s="44">
        <f t="shared" si="4"/>
        <v>366432</v>
      </c>
      <c r="I16" s="44">
        <f t="shared" si="4"/>
        <v>329912.91499999992</v>
      </c>
      <c r="J16" s="44">
        <f>SUM(J10:J15)-1</f>
        <v>336713.51299999998</v>
      </c>
      <c r="K16" s="44">
        <f t="shared" ref="K16:R16" si="5">SUM(K10:K15)</f>
        <v>332934.42499999999</v>
      </c>
      <c r="L16" s="45">
        <f t="shared" si="5"/>
        <v>319987</v>
      </c>
      <c r="M16" s="46">
        <f t="shared" si="5"/>
        <v>280954</v>
      </c>
      <c r="N16" s="47">
        <f t="shared" si="5"/>
        <v>275142.40899999999</v>
      </c>
      <c r="O16" s="47">
        <f t="shared" si="5"/>
        <v>284235.636</v>
      </c>
      <c r="P16" s="48">
        <f t="shared" si="5"/>
        <v>263256.435</v>
      </c>
      <c r="Q16" s="49">
        <f t="shared" si="5"/>
        <v>264263</v>
      </c>
      <c r="R16" s="49">
        <f t="shared" si="5"/>
        <v>265469</v>
      </c>
      <c r="S16" s="48">
        <v>266016</v>
      </c>
    </row>
    <row r="17" spans="1:22" x14ac:dyDescent="0.2">
      <c r="B17" s="50"/>
      <c r="C17" s="50"/>
      <c r="D17" s="51"/>
      <c r="E17" s="50"/>
      <c r="F17" s="52"/>
      <c r="G17" s="52"/>
      <c r="H17" s="52"/>
      <c r="I17" s="38"/>
      <c r="J17" s="52"/>
      <c r="K17" s="51"/>
      <c r="L17" s="53"/>
      <c r="M17" s="54"/>
      <c r="O17" s="55"/>
      <c r="S17" s="19"/>
    </row>
    <row r="18" spans="1:22" x14ac:dyDescent="0.2">
      <c r="A18" s="7" t="s">
        <v>19</v>
      </c>
      <c r="B18" s="36">
        <v>80163</v>
      </c>
      <c r="C18" s="36">
        <v>80163</v>
      </c>
      <c r="D18" s="36">
        <v>80163</v>
      </c>
      <c r="E18" s="36">
        <v>80163</v>
      </c>
      <c r="F18" s="36">
        <v>80162.792000000001</v>
      </c>
      <c r="G18" s="36">
        <v>80162.792000000001</v>
      </c>
      <c r="H18" s="36">
        <v>80162.792000000001</v>
      </c>
      <c r="I18" s="36">
        <f>80162792/1000</f>
        <v>80162.792000000001</v>
      </c>
      <c r="J18" s="36">
        <v>80163</v>
      </c>
      <c r="K18" s="38">
        <v>80163</v>
      </c>
      <c r="L18" s="57">
        <v>80163</v>
      </c>
      <c r="M18" s="16">
        <v>80163</v>
      </c>
      <c r="N18" s="19">
        <v>80163</v>
      </c>
      <c r="O18" s="20">
        <v>80162.792000000001</v>
      </c>
      <c r="P18" s="19">
        <v>80163</v>
      </c>
      <c r="Q18" s="19">
        <v>80163</v>
      </c>
      <c r="R18" s="19">
        <v>80163</v>
      </c>
      <c r="S18" s="19">
        <v>80163</v>
      </c>
    </row>
    <row r="19" spans="1:22" x14ac:dyDescent="0.2">
      <c r="A19" s="7" t="s">
        <v>20</v>
      </c>
      <c r="B19" s="36">
        <v>159186</v>
      </c>
      <c r="C19" s="36">
        <v>150518</v>
      </c>
      <c r="D19" s="36">
        <f>135374</f>
        <v>135374</v>
      </c>
      <c r="E19" s="36">
        <v>130137</v>
      </c>
      <c r="F19" s="36">
        <v>123614</v>
      </c>
      <c r="G19" s="36">
        <v>109375</v>
      </c>
      <c r="H19" s="36">
        <v>84267</v>
      </c>
      <c r="I19" s="36">
        <f>76970314/1000</f>
        <v>76970.313999999998</v>
      </c>
      <c r="J19" s="36">
        <f>69338.132</f>
        <v>69338.131999999998</v>
      </c>
      <c r="K19" s="38">
        <v>63789</v>
      </c>
      <c r="L19" s="57">
        <v>58330</v>
      </c>
      <c r="M19" s="16">
        <v>53932</v>
      </c>
      <c r="N19" s="19">
        <v>46028</v>
      </c>
      <c r="O19" s="20">
        <v>49080.705000000002</v>
      </c>
      <c r="P19" s="19">
        <v>40831</v>
      </c>
      <c r="Q19" s="19">
        <v>35038</v>
      </c>
      <c r="R19" s="19">
        <v>30279</v>
      </c>
      <c r="S19" s="19">
        <v>24529</v>
      </c>
    </row>
    <row r="20" spans="1:22" x14ac:dyDescent="0.2">
      <c r="A20" s="58" t="s">
        <v>21</v>
      </c>
      <c r="B20" s="36">
        <f>33972+15351+331</f>
        <v>49654</v>
      </c>
      <c r="C20" s="36">
        <f>30717+15351-552</f>
        <v>45516</v>
      </c>
      <c r="D20" s="36">
        <f>0+28204+15351</f>
        <v>43555</v>
      </c>
      <c r="E20" s="36">
        <f>4765+24695</f>
        <v>29460</v>
      </c>
      <c r="F20" s="36">
        <f>3430+21156-982</f>
        <v>23604</v>
      </c>
      <c r="G20" s="36">
        <f>4632+17771-982</f>
        <v>21421</v>
      </c>
      <c r="H20" s="36">
        <f>31534.698+9135</f>
        <v>40669.698000000004</v>
      </c>
      <c r="I20" s="36">
        <f>9017.013+29875.827</f>
        <v>38892.840000000004</v>
      </c>
      <c r="J20" s="36">
        <f>8828+29085</f>
        <v>37913</v>
      </c>
      <c r="K20" s="38">
        <f>8749+28428</f>
        <v>37177</v>
      </c>
      <c r="L20" s="17">
        <f>24547+7768</f>
        <v>32315</v>
      </c>
      <c r="M20" s="16">
        <f>22478+2850</f>
        <v>25328</v>
      </c>
      <c r="N20" s="59">
        <f>21695+2637</f>
        <v>24332</v>
      </c>
      <c r="O20" s="20">
        <f>22120.314+2395</f>
        <v>24515.313999999998</v>
      </c>
      <c r="P20" s="19">
        <v>25250</v>
      </c>
      <c r="Q20" s="19">
        <v>24628</v>
      </c>
      <c r="R20" s="19">
        <v>23708</v>
      </c>
      <c r="S20" s="19">
        <v>23761</v>
      </c>
    </row>
    <row r="21" spans="1:22" x14ac:dyDescent="0.2">
      <c r="A21" s="7" t="s">
        <v>22</v>
      </c>
      <c r="B21" s="36">
        <v>82202</v>
      </c>
      <c r="C21" s="36">
        <v>100181</v>
      </c>
      <c r="D21" s="36">
        <v>121713</v>
      </c>
      <c r="E21" s="36">
        <v>137726</v>
      </c>
      <c r="F21" s="36">
        <v>153072</v>
      </c>
      <c r="G21" s="36">
        <v>167797</v>
      </c>
      <c r="H21" s="36">
        <v>123395.65</v>
      </c>
      <c r="I21" s="36">
        <f>94708.726</f>
        <v>94708.725999999995</v>
      </c>
      <c r="J21" s="36">
        <v>107848</v>
      </c>
      <c r="K21" s="38">
        <v>110753.70600000001</v>
      </c>
      <c r="L21" s="17">
        <v>107288</v>
      </c>
      <c r="M21" s="16">
        <v>81360</v>
      </c>
      <c r="N21" s="19">
        <f>2918.706+3103.185+6339.433+4081.781+11245.04+11998.828+2321.267+42907.405</f>
        <v>84915.64499999999</v>
      </c>
      <c r="O21" s="20">
        <f>4527.983+3577.461+7245.067+6116.868+14162.862+200+16502.481+3517.318+32997.992</f>
        <v>88848.032000000007</v>
      </c>
      <c r="P21" s="19">
        <v>75927.267000000007</v>
      </c>
      <c r="Q21" s="19">
        <v>83988</v>
      </c>
      <c r="R21" s="19">
        <v>91983</v>
      </c>
      <c r="S21" s="19">
        <v>99216</v>
      </c>
    </row>
    <row r="22" spans="1:22" x14ac:dyDescent="0.2">
      <c r="A22" s="7" t="s">
        <v>23</v>
      </c>
      <c r="B22" s="36">
        <f>17761+33596+2036</f>
        <v>53393</v>
      </c>
      <c r="C22" s="36">
        <f>16442+33365+4035+1786</f>
        <v>55628</v>
      </c>
      <c r="D22" s="36">
        <f>16111+33942+6064+1935</f>
        <v>58052</v>
      </c>
      <c r="E22" s="36">
        <f>16135+1848+38279</f>
        <v>56262</v>
      </c>
      <c r="F22" s="36">
        <f>15545+1786+39449</f>
        <v>56780</v>
      </c>
      <c r="G22" s="36">
        <f>14771+37447+1878-295</f>
        <v>53801</v>
      </c>
      <c r="H22" s="36">
        <f>13871.047+1240.234+22825.773</f>
        <v>37937.054000000004</v>
      </c>
      <c r="I22" s="36">
        <f>13402.455+1155.908+24619.474</f>
        <v>39177.837</v>
      </c>
      <c r="J22" s="36">
        <f>12667+27704+1081</f>
        <v>41452</v>
      </c>
      <c r="K22" s="60">
        <f>11682+28365+1004</f>
        <v>41051</v>
      </c>
      <c r="L22" s="17">
        <f>11311+30580</f>
        <v>41891</v>
      </c>
      <c r="M22" s="16">
        <f>10307+29864</f>
        <v>40171</v>
      </c>
      <c r="N22" s="19">
        <f>-1+39703+1</f>
        <v>39703</v>
      </c>
      <c r="O22" s="20">
        <f>41797.753-168.94</f>
        <v>41628.812999999995</v>
      </c>
      <c r="P22" s="19">
        <f>32083.597+9001.126</f>
        <v>41084.722999999998</v>
      </c>
      <c r="Q22" s="49">
        <v>40446</v>
      </c>
      <c r="R22" s="49">
        <v>39336</v>
      </c>
      <c r="S22" s="19">
        <v>38347</v>
      </c>
      <c r="T22" s="50"/>
    </row>
    <row r="23" spans="1:22" x14ac:dyDescent="0.2">
      <c r="A23" s="7" t="s">
        <v>18</v>
      </c>
      <c r="B23" s="44">
        <f t="shared" ref="B23:C23" si="6">SUM(B18:B22)</f>
        <v>424598</v>
      </c>
      <c r="C23" s="44">
        <f t="shared" si="6"/>
        <v>432006</v>
      </c>
      <c r="D23" s="44">
        <f t="shared" ref="D23:R23" si="7">SUM(D18:D22)</f>
        <v>438857</v>
      </c>
      <c r="E23" s="44">
        <f t="shared" si="7"/>
        <v>433748</v>
      </c>
      <c r="F23" s="44">
        <f t="shared" si="7"/>
        <v>437232.79200000002</v>
      </c>
      <c r="G23" s="44">
        <f t="shared" si="7"/>
        <v>432556.79200000002</v>
      </c>
      <c r="H23" s="44">
        <f t="shared" si="7"/>
        <v>366432.19400000002</v>
      </c>
      <c r="I23" s="61">
        <f t="shared" si="7"/>
        <v>329912.50900000002</v>
      </c>
      <c r="J23" s="44">
        <f t="shared" si="7"/>
        <v>336714.13199999998</v>
      </c>
      <c r="K23" s="61">
        <f t="shared" si="7"/>
        <v>332933.70600000001</v>
      </c>
      <c r="L23" s="45">
        <f t="shared" si="7"/>
        <v>319987</v>
      </c>
      <c r="M23" s="46">
        <f t="shared" si="7"/>
        <v>280954</v>
      </c>
      <c r="N23" s="47">
        <f t="shared" si="7"/>
        <v>275141.64500000002</v>
      </c>
      <c r="O23" s="47">
        <f t="shared" si="7"/>
        <v>284235.65599999996</v>
      </c>
      <c r="P23" s="48">
        <f t="shared" si="7"/>
        <v>263255.99</v>
      </c>
      <c r="Q23" s="48">
        <f t="shared" si="7"/>
        <v>264263</v>
      </c>
      <c r="R23" s="48">
        <f t="shared" si="7"/>
        <v>265469</v>
      </c>
      <c r="S23" s="48">
        <v>266016</v>
      </c>
      <c r="T23" s="62"/>
    </row>
    <row r="24" spans="1:22" x14ac:dyDescent="0.2">
      <c r="B24" s="50"/>
      <c r="C24" s="50"/>
      <c r="D24" s="51"/>
      <c r="E24" s="50"/>
      <c r="F24" s="50"/>
      <c r="G24" s="50"/>
      <c r="H24" s="52"/>
      <c r="I24" s="38"/>
      <c r="J24" s="52"/>
      <c r="K24" s="51"/>
      <c r="L24" s="63"/>
      <c r="M24" s="54"/>
      <c r="O24" s="55"/>
      <c r="S24" s="19"/>
    </row>
    <row r="25" spans="1:22" x14ac:dyDescent="0.2">
      <c r="A25" s="12" t="s">
        <v>24</v>
      </c>
      <c r="B25" s="64"/>
      <c r="C25" s="64"/>
      <c r="D25" s="65"/>
      <c r="E25" s="64"/>
      <c r="F25" s="64"/>
      <c r="G25" s="64"/>
      <c r="H25" s="66"/>
      <c r="I25" s="65"/>
      <c r="J25" s="66"/>
      <c r="K25" s="65"/>
      <c r="L25" s="67"/>
      <c r="M25" s="68"/>
      <c r="N25" s="12"/>
      <c r="O25" s="34"/>
      <c r="P25" s="35"/>
      <c r="Q25" s="7"/>
      <c r="R25" s="7"/>
      <c r="S25" s="19"/>
    </row>
    <row r="26" spans="1:22" x14ac:dyDescent="0.2">
      <c r="A26" s="7"/>
      <c r="B26" s="18"/>
      <c r="C26" s="18"/>
      <c r="D26" s="38"/>
      <c r="E26" s="18"/>
      <c r="F26" s="18"/>
      <c r="G26" s="18"/>
      <c r="H26" s="36"/>
      <c r="I26" s="38"/>
      <c r="J26" s="36"/>
      <c r="K26" s="38"/>
      <c r="L26" s="69"/>
      <c r="M26" s="16"/>
      <c r="N26" s="7"/>
      <c r="O26" s="20"/>
      <c r="P26" s="19"/>
      <c r="Q26" s="7"/>
      <c r="R26" s="7"/>
      <c r="S26" s="19"/>
    </row>
    <row r="27" spans="1:22" x14ac:dyDescent="0.2">
      <c r="A27" s="12" t="s">
        <v>25</v>
      </c>
      <c r="B27" s="64"/>
      <c r="C27" s="64"/>
      <c r="D27" s="65"/>
      <c r="E27" s="64"/>
      <c r="F27" s="64"/>
      <c r="G27" s="64"/>
      <c r="H27" s="66"/>
      <c r="I27" s="65"/>
      <c r="J27" s="66"/>
      <c r="K27" s="65"/>
      <c r="L27" s="8"/>
      <c r="M27" s="70"/>
      <c r="N27" s="12"/>
      <c r="O27" s="34"/>
      <c r="P27" s="35"/>
      <c r="Q27" s="7"/>
      <c r="R27" s="7"/>
      <c r="S27" s="19"/>
    </row>
    <row r="28" spans="1:22" x14ac:dyDescent="0.2">
      <c r="A28" s="7" t="s">
        <v>26</v>
      </c>
      <c r="B28" s="38"/>
      <c r="C28" s="38"/>
      <c r="D28" s="38"/>
      <c r="E28" s="38"/>
      <c r="F28" s="18"/>
      <c r="G28" s="18"/>
      <c r="H28" s="36"/>
      <c r="I28" s="38"/>
      <c r="J28" s="36"/>
      <c r="K28" s="38"/>
      <c r="L28" s="29"/>
      <c r="M28" s="16"/>
      <c r="N28" s="7"/>
      <c r="O28" s="20"/>
      <c r="P28" s="19"/>
      <c r="Q28" s="7"/>
      <c r="R28" s="7"/>
      <c r="S28" s="19"/>
    </row>
    <row r="29" spans="1:22" x14ac:dyDescent="0.2">
      <c r="A29" s="7" t="s">
        <v>27</v>
      </c>
      <c r="B29" s="36">
        <v>269308</v>
      </c>
      <c r="C29" s="36">
        <v>319001</v>
      </c>
      <c r="D29" s="36">
        <f>329767</f>
        <v>329767</v>
      </c>
      <c r="E29" s="36">
        <v>327570</v>
      </c>
      <c r="F29" s="37">
        <v>328735</v>
      </c>
      <c r="G29" s="37">
        <v>318265</v>
      </c>
      <c r="H29" s="36">
        <f>278312+1865</f>
        <v>280177</v>
      </c>
      <c r="I29" s="36">
        <f>247945403/1000</f>
        <v>247945.40299999999</v>
      </c>
      <c r="J29" s="36">
        <v>236745</v>
      </c>
      <c r="K29" s="38">
        <v>243691</v>
      </c>
      <c r="L29" s="17">
        <v>230754</v>
      </c>
      <c r="M29" s="16">
        <v>191525</v>
      </c>
      <c r="N29" s="19">
        <v>113251</v>
      </c>
      <c r="O29" s="20">
        <v>111108</v>
      </c>
      <c r="P29" s="19">
        <v>103430</v>
      </c>
      <c r="Q29" s="21">
        <v>98192</v>
      </c>
      <c r="R29" s="21">
        <v>100450</v>
      </c>
      <c r="S29" s="19">
        <v>96501</v>
      </c>
      <c r="V29" s="71"/>
    </row>
    <row r="30" spans="1:22" x14ac:dyDescent="0.2">
      <c r="A30" s="7" t="s">
        <v>28</v>
      </c>
      <c r="B30" s="38">
        <v>9673</v>
      </c>
      <c r="C30" s="38">
        <v>-59115</v>
      </c>
      <c r="D30" s="38">
        <v>-20618</v>
      </c>
      <c r="E30" s="72">
        <v>-3671</v>
      </c>
      <c r="F30" s="37">
        <v>1172</v>
      </c>
      <c r="G30" s="37">
        <v>22083</v>
      </c>
      <c r="H30" s="36">
        <f>38985+200</f>
        <v>39185</v>
      </c>
      <c r="I30" s="36">
        <v>26908</v>
      </c>
      <c r="J30" s="36">
        <v>19.928000000000001</v>
      </c>
      <c r="K30" s="38">
        <v>57448.281920000001</v>
      </c>
      <c r="L30" s="17">
        <f>10161+17</f>
        <v>10178</v>
      </c>
      <c r="M30" s="16">
        <v>34962</v>
      </c>
      <c r="N30" s="19">
        <v>88961</v>
      </c>
      <c r="O30" s="20">
        <f>59871.239+275.952</f>
        <v>60147.190999999999</v>
      </c>
      <c r="P30" s="19">
        <v>46110.167000000001</v>
      </c>
      <c r="Q30" s="21">
        <v>35495</v>
      </c>
      <c r="R30" s="21">
        <v>40492</v>
      </c>
      <c r="S30" s="19">
        <v>43773</v>
      </c>
    </row>
    <row r="31" spans="1:22" x14ac:dyDescent="0.2">
      <c r="A31" s="7" t="s">
        <v>29</v>
      </c>
      <c r="B31" s="36">
        <v>4084</v>
      </c>
      <c r="C31" s="36">
        <v>1984</v>
      </c>
      <c r="D31" s="36">
        <v>2624</v>
      </c>
      <c r="E31" s="36">
        <v>3662</v>
      </c>
      <c r="F31" s="37">
        <v>3207</v>
      </c>
      <c r="G31" s="37">
        <v>3677</v>
      </c>
      <c r="H31" s="36">
        <v>1657</v>
      </c>
      <c r="I31" s="36">
        <f>1417100/1000</f>
        <v>1417.1</v>
      </c>
      <c r="J31" s="36">
        <v>1926.36</v>
      </c>
      <c r="K31" s="60">
        <v>1082.0050000000001</v>
      </c>
      <c r="L31" s="17">
        <v>657</v>
      </c>
      <c r="M31" s="16">
        <v>943</v>
      </c>
      <c r="N31" s="7">
        <v>848</v>
      </c>
      <c r="O31" s="20">
        <v>544.68600000000004</v>
      </c>
      <c r="P31" s="19">
        <v>748.66</v>
      </c>
      <c r="Q31" s="73">
        <v>481</v>
      </c>
      <c r="R31" s="73">
        <v>842</v>
      </c>
      <c r="S31" s="19">
        <v>837</v>
      </c>
    </row>
    <row r="32" spans="1:22" x14ac:dyDescent="0.2">
      <c r="A32" s="7" t="s">
        <v>18</v>
      </c>
      <c r="B32" s="44">
        <f t="shared" ref="B32:C32" si="8">SUM(B29:B31)</f>
        <v>283065</v>
      </c>
      <c r="C32" s="44">
        <f t="shared" si="8"/>
        <v>261870</v>
      </c>
      <c r="D32" s="44">
        <f t="shared" ref="D32:R32" si="9">SUM(D29:D31)</f>
        <v>311773</v>
      </c>
      <c r="E32" s="44">
        <f t="shared" si="9"/>
        <v>327561</v>
      </c>
      <c r="F32" s="44">
        <f t="shared" si="9"/>
        <v>333114</v>
      </c>
      <c r="G32" s="44">
        <f t="shared" si="9"/>
        <v>344025</v>
      </c>
      <c r="H32" s="44">
        <f t="shared" si="9"/>
        <v>321019</v>
      </c>
      <c r="I32" s="61">
        <f t="shared" si="9"/>
        <v>276270.50299999997</v>
      </c>
      <c r="J32" s="61">
        <f t="shared" si="9"/>
        <v>238691.288</v>
      </c>
      <c r="K32" s="61">
        <f t="shared" si="9"/>
        <v>302221.28691999998</v>
      </c>
      <c r="L32" s="45">
        <f t="shared" si="9"/>
        <v>241589</v>
      </c>
      <c r="M32" s="46">
        <f t="shared" si="9"/>
        <v>227430</v>
      </c>
      <c r="N32" s="74">
        <f t="shared" si="9"/>
        <v>203060</v>
      </c>
      <c r="O32" s="74">
        <f t="shared" si="9"/>
        <v>171799.87699999998</v>
      </c>
      <c r="P32" s="75">
        <f t="shared" si="9"/>
        <v>150288.82700000002</v>
      </c>
      <c r="Q32" s="75">
        <f t="shared" si="9"/>
        <v>134168</v>
      </c>
      <c r="R32" s="75">
        <f t="shared" si="9"/>
        <v>141784</v>
      </c>
      <c r="S32" s="48">
        <v>141111</v>
      </c>
    </row>
    <row r="33" spans="1:23" x14ac:dyDescent="0.2">
      <c r="D33" s="53"/>
      <c r="H33" s="76"/>
      <c r="K33" s="53"/>
      <c r="L33" s="53"/>
      <c r="M33" s="54"/>
      <c r="O33" s="55"/>
      <c r="Q33" s="77"/>
      <c r="R33" s="77"/>
      <c r="S33" s="19"/>
    </row>
    <row r="34" spans="1:23" x14ac:dyDescent="0.2">
      <c r="A34" s="7"/>
      <c r="B34" s="7"/>
      <c r="C34" s="7"/>
      <c r="D34" s="29"/>
      <c r="E34" s="7"/>
      <c r="F34" s="7"/>
      <c r="G34" s="7"/>
      <c r="H34" s="17"/>
      <c r="J34" s="17"/>
      <c r="K34" s="29"/>
      <c r="L34" s="29"/>
      <c r="M34" s="16"/>
      <c r="N34" s="7"/>
      <c r="O34" s="20"/>
      <c r="P34" s="19"/>
      <c r="Q34" s="78"/>
      <c r="R34" s="78"/>
      <c r="S34" s="19"/>
    </row>
    <row r="35" spans="1:23" x14ac:dyDescent="0.2">
      <c r="A35" s="12" t="s">
        <v>30</v>
      </c>
      <c r="B35" s="12"/>
      <c r="C35" s="12"/>
      <c r="D35" s="8"/>
      <c r="E35" s="12"/>
      <c r="F35" s="12"/>
      <c r="G35" s="12"/>
      <c r="H35" s="33"/>
      <c r="I35" s="8"/>
      <c r="J35" s="33"/>
      <c r="K35" s="8"/>
      <c r="L35" s="8"/>
      <c r="M35" s="68"/>
      <c r="N35" s="12"/>
      <c r="O35" s="34"/>
      <c r="P35" s="35"/>
      <c r="Q35" s="21"/>
      <c r="R35" s="21"/>
      <c r="S35" s="19"/>
    </row>
    <row r="36" spans="1:23" x14ac:dyDescent="0.2">
      <c r="A36" s="7"/>
      <c r="B36" s="7"/>
      <c r="C36" s="7"/>
      <c r="D36" s="29"/>
      <c r="E36" s="7"/>
      <c r="F36" s="7"/>
      <c r="G36" s="7"/>
      <c r="H36" s="17"/>
      <c r="J36" s="17"/>
      <c r="K36" s="38"/>
      <c r="L36" s="38"/>
      <c r="M36" s="18"/>
      <c r="N36" s="18"/>
      <c r="O36" s="18"/>
      <c r="P36" s="18"/>
      <c r="Q36" s="21"/>
      <c r="R36" s="21"/>
      <c r="S36" s="19"/>
    </row>
    <row r="37" spans="1:23" x14ac:dyDescent="0.2">
      <c r="A37" s="29" t="s">
        <v>31</v>
      </c>
      <c r="B37" s="17">
        <v>127594</v>
      </c>
      <c r="C37" s="17">
        <v>114854</v>
      </c>
      <c r="D37" s="17">
        <v>172061</v>
      </c>
      <c r="E37" s="17">
        <v>190235</v>
      </c>
      <c r="F37" s="16">
        <f>194450+1348</f>
        <v>195798</v>
      </c>
      <c r="G37" s="16">
        <f>187236+22074</f>
        <v>209310</v>
      </c>
      <c r="H37" s="17">
        <f>145398+40335</f>
        <v>185733</v>
      </c>
      <c r="I37" s="79">
        <f>114729+27742</f>
        <v>142471</v>
      </c>
      <c r="J37" s="17">
        <v>108998</v>
      </c>
      <c r="K37" s="38">
        <f>124824+57914</f>
        <v>182738</v>
      </c>
      <c r="L37" s="17">
        <f>113029+10846</f>
        <v>123875</v>
      </c>
      <c r="M37" s="16">
        <f>34712+84647</f>
        <v>119359</v>
      </c>
      <c r="N37" s="19">
        <f>89190+5827</f>
        <v>95017</v>
      </c>
      <c r="O37" s="20"/>
      <c r="P37" s="19"/>
      <c r="Q37" s="21"/>
      <c r="R37" s="21"/>
      <c r="S37" s="19"/>
    </row>
    <row r="38" spans="1:23" x14ac:dyDescent="0.2">
      <c r="A38" s="29" t="s">
        <v>32</v>
      </c>
      <c r="B38" s="17">
        <f>24293-11856</f>
        <v>12437</v>
      </c>
      <c r="C38" s="17">
        <f>21364-11375</f>
        <v>9989</v>
      </c>
      <c r="D38" s="17">
        <f>21953-11010</f>
        <v>10943</v>
      </c>
      <c r="E38" s="17">
        <f>21061-11113</f>
        <v>9948</v>
      </c>
      <c r="F38" s="17">
        <f>22653-11945</f>
        <v>10708</v>
      </c>
      <c r="G38" s="16">
        <f>26892-15974</f>
        <v>10918</v>
      </c>
      <c r="H38" s="17">
        <f>25443+1550-16406</f>
        <v>10587</v>
      </c>
      <c r="I38" s="80">
        <f>124134-1-114729</f>
        <v>9404</v>
      </c>
      <c r="J38" s="17">
        <f>132788-14997-108998</f>
        <v>8793</v>
      </c>
      <c r="K38" s="38">
        <f>147522-13579-124824</f>
        <v>9119</v>
      </c>
      <c r="L38" s="17">
        <f>18833+1000-11545</f>
        <v>8288</v>
      </c>
      <c r="M38" s="16">
        <f>102386-10882-84647</f>
        <v>6857</v>
      </c>
      <c r="N38" s="19">
        <f>24237.909-10556.002-5826</f>
        <v>7855.9069999999992</v>
      </c>
      <c r="O38" s="20">
        <f>24464.4-9262.396</f>
        <v>15202.004000000001</v>
      </c>
      <c r="P38" s="19">
        <f>22550.134-8466.137</f>
        <v>14083.996999999998</v>
      </c>
      <c r="Q38" s="21">
        <v>13208</v>
      </c>
      <c r="R38" s="21">
        <f>23001-8503</f>
        <v>14498</v>
      </c>
      <c r="S38" s="19">
        <v>12459</v>
      </c>
      <c r="T38" s="71"/>
    </row>
    <row r="39" spans="1:23" ht="14.25" customHeight="1" x14ac:dyDescent="0.2">
      <c r="A39" s="29" t="s">
        <v>33</v>
      </c>
      <c r="B39" s="17">
        <f>43552-21717</f>
        <v>21835</v>
      </c>
      <c r="C39" s="17">
        <f>39246-21066</f>
        <v>18180</v>
      </c>
      <c r="D39" s="17">
        <f>35684-20305</f>
        <v>15379</v>
      </c>
      <c r="E39" s="17">
        <f>34609-19191</f>
        <v>15418</v>
      </c>
      <c r="F39" s="17">
        <f>34607-18077</f>
        <v>16530</v>
      </c>
      <c r="G39" s="16">
        <f>31219-15441</f>
        <v>15778</v>
      </c>
      <c r="H39" s="17">
        <f>35571-16253</f>
        <v>19318</v>
      </c>
      <c r="I39" s="80">
        <v>17618</v>
      </c>
      <c r="J39" s="17">
        <v>20557</v>
      </c>
      <c r="K39" s="38">
        <f>30869-14268</f>
        <v>16601</v>
      </c>
      <c r="L39" s="17">
        <f>30401-13591</f>
        <v>16810</v>
      </c>
      <c r="M39" s="16">
        <f>27800-12912</f>
        <v>14888</v>
      </c>
      <c r="N39" s="19">
        <v>14080</v>
      </c>
      <c r="O39" s="20">
        <f>23421.432-11619.55</f>
        <v>11801.882000000001</v>
      </c>
      <c r="P39" s="19">
        <f>23885.896-11079.941</f>
        <v>12805.955</v>
      </c>
      <c r="Q39" s="21">
        <v>12519</v>
      </c>
      <c r="R39" s="21">
        <v>11925</v>
      </c>
      <c r="S39" s="19">
        <v>12373</v>
      </c>
      <c r="T39" s="71"/>
    </row>
    <row r="40" spans="1:23" x14ac:dyDescent="0.2">
      <c r="A40" s="29" t="s">
        <v>34</v>
      </c>
      <c r="B40" s="17">
        <f>34257-718-1915</f>
        <v>31624</v>
      </c>
      <c r="C40" s="17">
        <f>31389-2279-669</f>
        <v>28441</v>
      </c>
      <c r="D40" s="17">
        <f>31640-2314-672</f>
        <v>28654</v>
      </c>
      <c r="E40" s="17">
        <f>33355-2846</f>
        <v>30509</v>
      </c>
      <c r="F40" s="17">
        <f>31426-2634-100+734</f>
        <v>29426</v>
      </c>
      <c r="G40" s="16">
        <f>28496-1211+1</f>
        <v>27286</v>
      </c>
      <c r="H40" s="17">
        <f>27754-1605.94</f>
        <v>26148.06</v>
      </c>
      <c r="I40" s="80">
        <v>24784</v>
      </c>
      <c r="J40" s="17">
        <f>24916-453-1197</f>
        <v>23266</v>
      </c>
      <c r="K40" s="38">
        <v>22167</v>
      </c>
      <c r="L40" s="17">
        <f>16601+6333-2035-2+503-220</f>
        <v>21180</v>
      </c>
      <c r="M40" s="16">
        <v>19596</v>
      </c>
      <c r="N40" s="19">
        <f>22053+1299</f>
        <v>23352</v>
      </c>
      <c r="O40" s="20">
        <v>18407</v>
      </c>
      <c r="P40" s="19">
        <v>19486</v>
      </c>
      <c r="Q40" s="21">
        <v>20344</v>
      </c>
      <c r="R40" s="21">
        <v>18305</v>
      </c>
      <c r="S40" s="19">
        <v>16356</v>
      </c>
    </row>
    <row r="41" spans="1:23" x14ac:dyDescent="0.2">
      <c r="A41" s="29" t="s">
        <v>35</v>
      </c>
      <c r="B41" s="17">
        <v>36206</v>
      </c>
      <c r="C41" s="17">
        <f>11375+21066+2279+669</f>
        <v>35389</v>
      </c>
      <c r="D41" s="17">
        <f>11010+20305+2314+672</f>
        <v>34301</v>
      </c>
      <c r="E41" s="17">
        <f>11113+19191+2846</f>
        <v>33150</v>
      </c>
      <c r="F41" s="16">
        <f>11945+18077+2634</f>
        <v>32656</v>
      </c>
      <c r="G41" s="16">
        <v>32625</v>
      </c>
      <c r="H41" s="17">
        <v>34264</v>
      </c>
      <c r="I41" s="79">
        <v>34314</v>
      </c>
      <c r="J41" s="17">
        <f>30741+1091</f>
        <v>31832</v>
      </c>
      <c r="K41" s="60">
        <v>29468.43375</v>
      </c>
      <c r="L41" s="17">
        <v>27171</v>
      </c>
      <c r="M41" s="16">
        <v>24763</v>
      </c>
      <c r="N41" s="19">
        <v>23884.782999999999</v>
      </c>
      <c r="O41" s="20">
        <v>21905</v>
      </c>
      <c r="P41" s="19">
        <v>20493.203000000001</v>
      </c>
      <c r="Q41" s="73">
        <v>19608</v>
      </c>
      <c r="R41" s="73">
        <v>18893</v>
      </c>
      <c r="S41" s="19">
        <v>17639</v>
      </c>
      <c r="V41" s="71"/>
    </row>
    <row r="42" spans="1:23" x14ac:dyDescent="0.2">
      <c r="A42" s="29" t="s">
        <v>18</v>
      </c>
      <c r="B42" s="45">
        <f>SUM(B37:B41)</f>
        <v>229696</v>
      </c>
      <c r="C42" s="45">
        <f>SUM(C37:C41)</f>
        <v>206853</v>
      </c>
      <c r="D42" s="45">
        <f>SUM(D37:D41)</f>
        <v>261338</v>
      </c>
      <c r="E42" s="45">
        <f>SUM(E37:E41)</f>
        <v>279260</v>
      </c>
      <c r="F42" s="45">
        <f t="shared" ref="F42:N42" si="10">SUM(F37:F41)</f>
        <v>285118</v>
      </c>
      <c r="G42" s="45">
        <f t="shared" si="10"/>
        <v>295917</v>
      </c>
      <c r="H42" s="45">
        <f t="shared" si="10"/>
        <v>276050.06</v>
      </c>
      <c r="I42" s="45">
        <f t="shared" si="10"/>
        <v>228591</v>
      </c>
      <c r="J42" s="45">
        <f t="shared" si="10"/>
        <v>193446</v>
      </c>
      <c r="K42" s="45">
        <f t="shared" si="10"/>
        <v>260093.43375</v>
      </c>
      <c r="L42" s="45">
        <f t="shared" si="10"/>
        <v>197324</v>
      </c>
      <c r="M42" s="45">
        <f t="shared" si="10"/>
        <v>185463</v>
      </c>
      <c r="N42" s="45">
        <f t="shared" si="10"/>
        <v>164189.69</v>
      </c>
      <c r="O42" s="74">
        <f>SUM(O38:O41)</f>
        <v>67315.885999999999</v>
      </c>
      <c r="P42" s="75">
        <f>SUM(P38:P41)</f>
        <v>66869.154999999999</v>
      </c>
      <c r="Q42" s="73">
        <f>SUM(Q38:Q41)</f>
        <v>65679</v>
      </c>
      <c r="R42" s="73">
        <f>SUM(R38:R41)</f>
        <v>63621</v>
      </c>
      <c r="S42" s="48">
        <v>102116</v>
      </c>
    </row>
    <row r="43" spans="1:23" x14ac:dyDescent="0.2">
      <c r="A43" s="53"/>
      <c r="B43" s="53"/>
      <c r="C43" s="53"/>
      <c r="D43" s="53"/>
      <c r="E43" s="53"/>
      <c r="H43" s="76"/>
      <c r="J43" s="81"/>
      <c r="K43" s="81"/>
      <c r="L43" s="53"/>
      <c r="O43" s="55"/>
      <c r="S43" s="19"/>
    </row>
    <row r="44" spans="1:23" x14ac:dyDescent="0.2">
      <c r="A44" s="29" t="s">
        <v>36</v>
      </c>
      <c r="B44" s="17">
        <f t="shared" ref="B44:H44" si="11">B32-B42</f>
        <v>53369</v>
      </c>
      <c r="C44" s="17">
        <f t="shared" si="11"/>
        <v>55017</v>
      </c>
      <c r="D44" s="17">
        <f t="shared" si="11"/>
        <v>50435</v>
      </c>
      <c r="E44" s="17">
        <f t="shared" si="11"/>
        <v>48301</v>
      </c>
      <c r="F44" s="17">
        <f t="shared" si="11"/>
        <v>47996</v>
      </c>
      <c r="G44" s="17">
        <f t="shared" si="11"/>
        <v>48108</v>
      </c>
      <c r="H44" s="17">
        <f t="shared" si="11"/>
        <v>44968.94</v>
      </c>
      <c r="I44" s="69">
        <v>47679</v>
      </c>
      <c r="J44" s="69">
        <v>45245</v>
      </c>
      <c r="K44" s="69">
        <v>42127</v>
      </c>
      <c r="L44" s="69">
        <f>L32-L42</f>
        <v>44265</v>
      </c>
      <c r="M44" s="82">
        <v>41967</v>
      </c>
      <c r="N44" s="83">
        <v>38870</v>
      </c>
      <c r="O44" s="20">
        <v>44370</v>
      </c>
      <c r="P44" s="19">
        <v>37750</v>
      </c>
      <c r="Q44" s="19">
        <v>32816</v>
      </c>
      <c r="R44" s="19">
        <f>+R32-R42</f>
        <v>78163</v>
      </c>
      <c r="S44" s="19">
        <v>38995</v>
      </c>
      <c r="T44" s="71">
        <f>I32-I42</f>
        <v>47679.502999999968</v>
      </c>
      <c r="V44" s="71"/>
      <c r="W44" s="71"/>
    </row>
    <row r="45" spans="1:23" x14ac:dyDescent="0.2">
      <c r="A45" s="29" t="s">
        <v>37</v>
      </c>
      <c r="B45" s="38">
        <f>-(6064-787)</f>
        <v>-5277</v>
      </c>
      <c r="C45" s="38">
        <f>(8353-727)*-1</f>
        <v>-7626</v>
      </c>
      <c r="D45" s="38">
        <f>(11820-1031)*-1</f>
        <v>-10789</v>
      </c>
      <c r="E45" s="38">
        <v>-11368</v>
      </c>
      <c r="F45" s="38">
        <f>(13190-27)*-1</f>
        <v>-13163</v>
      </c>
      <c r="G45" s="38">
        <v>-9389</v>
      </c>
      <c r="H45" s="38">
        <v>-8761</v>
      </c>
      <c r="I45" s="38">
        <v>-7618</v>
      </c>
      <c r="J45" s="38">
        <v>-6915</v>
      </c>
      <c r="K45" s="38">
        <v>-8997</v>
      </c>
      <c r="L45" s="17">
        <f>7507-306</f>
        <v>7201</v>
      </c>
      <c r="M45" s="16">
        <v>7131</v>
      </c>
      <c r="N45" s="19">
        <v>6074</v>
      </c>
      <c r="O45" s="20">
        <v>5685.9740000000002</v>
      </c>
      <c r="P45" s="19">
        <v>7344.3119999999999</v>
      </c>
      <c r="Q45" s="19">
        <v>8805</v>
      </c>
      <c r="R45" s="19">
        <v>9360</v>
      </c>
      <c r="S45" s="19">
        <v>7574</v>
      </c>
    </row>
    <row r="46" spans="1:23" x14ac:dyDescent="0.2">
      <c r="A46" s="29" t="s">
        <v>38</v>
      </c>
      <c r="B46" s="84">
        <v>67</v>
      </c>
      <c r="C46" s="84">
        <v>45</v>
      </c>
      <c r="D46" s="84">
        <v>307</v>
      </c>
      <c r="E46" s="84">
        <v>67</v>
      </c>
      <c r="F46" s="84">
        <v>66</v>
      </c>
      <c r="G46" s="84">
        <v>67</v>
      </c>
      <c r="H46" s="84">
        <v>66</v>
      </c>
      <c r="I46" s="84">
        <v>296</v>
      </c>
      <c r="J46" s="84">
        <v>636</v>
      </c>
      <c r="K46" s="84">
        <v>461.75400000000002</v>
      </c>
      <c r="L46" s="84">
        <v>-151</v>
      </c>
      <c r="M46" s="85">
        <v>-503</v>
      </c>
      <c r="N46" s="19">
        <v>115.768</v>
      </c>
      <c r="O46" s="86">
        <v>15.484999999999999</v>
      </c>
      <c r="P46" s="18">
        <v>288.39999999999998</v>
      </c>
      <c r="Q46" s="87">
        <v>-37</v>
      </c>
      <c r="R46" s="87" t="s">
        <v>14</v>
      </c>
      <c r="S46" s="88" t="s">
        <v>14</v>
      </c>
    </row>
    <row r="47" spans="1:23" x14ac:dyDescent="0.2">
      <c r="A47" s="29" t="s">
        <v>39</v>
      </c>
      <c r="B47" s="69">
        <f>SUM(B44:B46)</f>
        <v>48159</v>
      </c>
      <c r="C47" s="69">
        <f t="shared" ref="C47:K47" si="12">SUM(C44:C46)</f>
        <v>47436</v>
      </c>
      <c r="D47" s="69">
        <f t="shared" si="12"/>
        <v>39953</v>
      </c>
      <c r="E47" s="69">
        <f t="shared" si="12"/>
        <v>37000</v>
      </c>
      <c r="F47" s="69">
        <f t="shared" si="12"/>
        <v>34899</v>
      </c>
      <c r="G47" s="69">
        <f t="shared" si="12"/>
        <v>38786</v>
      </c>
      <c r="H47" s="69">
        <f t="shared" si="12"/>
        <v>36273.94</v>
      </c>
      <c r="I47" s="69">
        <f t="shared" si="12"/>
        <v>40357</v>
      </c>
      <c r="J47" s="69">
        <f t="shared" si="12"/>
        <v>38966</v>
      </c>
      <c r="K47" s="69">
        <f t="shared" si="12"/>
        <v>33591.754000000001</v>
      </c>
      <c r="L47" s="63">
        <f t="shared" ref="L47:M47" si="13">L44-L45-L46</f>
        <v>37215</v>
      </c>
      <c r="M47" s="71">
        <f t="shared" si="13"/>
        <v>35339</v>
      </c>
      <c r="N47" s="89">
        <f>+N44-N45-N46</f>
        <v>32680.232</v>
      </c>
      <c r="O47" s="90">
        <f>+O44-O45-O46</f>
        <v>38668.540999999997</v>
      </c>
      <c r="P47" s="91">
        <f>+P44-P45-P46</f>
        <v>30117.288</v>
      </c>
      <c r="Q47" s="91">
        <f>+Q44-Q45-Q46</f>
        <v>24048</v>
      </c>
      <c r="R47" s="91">
        <f>+R44-R45</f>
        <v>68803</v>
      </c>
      <c r="S47" s="91">
        <v>31421</v>
      </c>
    </row>
    <row r="48" spans="1:23" x14ac:dyDescent="0.2">
      <c r="A48" s="29" t="s">
        <v>40</v>
      </c>
      <c r="B48" s="84">
        <v>13471</v>
      </c>
      <c r="C48" s="84">
        <v>13468</v>
      </c>
      <c r="D48" s="84">
        <f>11248-204</f>
        <v>11044</v>
      </c>
      <c r="E48" s="84">
        <v>10192</v>
      </c>
      <c r="F48" s="84">
        <f>9715-131</f>
        <v>9584</v>
      </c>
      <c r="G48" s="84">
        <v>9972</v>
      </c>
      <c r="H48" s="17">
        <v>10003</v>
      </c>
      <c r="I48" s="17">
        <f>11137654/1000</f>
        <v>11137.654</v>
      </c>
      <c r="J48" s="92">
        <v>11151</v>
      </c>
      <c r="K48" s="60">
        <v>11049</v>
      </c>
      <c r="L48" s="92">
        <f>9059+66</f>
        <v>9125</v>
      </c>
      <c r="M48" s="93">
        <v>8585</v>
      </c>
      <c r="N48" s="49">
        <f>-2567.388+9650.147</f>
        <v>7082.7590000000009</v>
      </c>
      <c r="O48" s="86">
        <f>10420.25+207.809</f>
        <v>10628.058999999999</v>
      </c>
      <c r="P48" s="49">
        <v>10501</v>
      </c>
      <c r="Q48" s="49">
        <v>7747</v>
      </c>
      <c r="R48" s="49">
        <v>8968</v>
      </c>
      <c r="S48" s="49">
        <v>10294</v>
      </c>
    </row>
    <row r="49" spans="1:21" x14ac:dyDescent="0.2">
      <c r="A49" s="29" t="s">
        <v>41</v>
      </c>
      <c r="B49" s="94">
        <f t="shared" ref="B49:M49" si="14">B47-B48</f>
        <v>34688</v>
      </c>
      <c r="C49" s="94">
        <f t="shared" si="14"/>
        <v>33968</v>
      </c>
      <c r="D49" s="94">
        <f t="shared" si="14"/>
        <v>28909</v>
      </c>
      <c r="E49" s="94">
        <f t="shared" si="14"/>
        <v>26808</v>
      </c>
      <c r="F49" s="94">
        <f t="shared" si="14"/>
        <v>25315</v>
      </c>
      <c r="G49" s="94">
        <f t="shared" si="14"/>
        <v>28814</v>
      </c>
      <c r="H49" s="94">
        <f t="shared" si="14"/>
        <v>26270.940000000002</v>
      </c>
      <c r="I49" s="94">
        <f t="shared" si="14"/>
        <v>29219.345999999998</v>
      </c>
      <c r="J49" s="17">
        <f t="shared" si="14"/>
        <v>27815</v>
      </c>
      <c r="K49" s="17">
        <f t="shared" si="14"/>
        <v>22542.754000000001</v>
      </c>
      <c r="L49" s="17">
        <f t="shared" si="14"/>
        <v>28090</v>
      </c>
      <c r="M49" s="16">
        <f t="shared" si="14"/>
        <v>26754</v>
      </c>
      <c r="N49" s="19">
        <f>+N47-N48</f>
        <v>25597.472999999998</v>
      </c>
      <c r="O49" s="83">
        <v>28124</v>
      </c>
      <c r="P49" s="19">
        <f>+P47-P48</f>
        <v>19616.288</v>
      </c>
      <c r="Q49" s="19">
        <f>+Q47-Q48</f>
        <v>16301</v>
      </c>
      <c r="R49" s="19">
        <f>+R47-R48</f>
        <v>59835</v>
      </c>
      <c r="S49" s="19">
        <v>21127</v>
      </c>
    </row>
    <row r="50" spans="1:21" x14ac:dyDescent="0.2">
      <c r="A50" s="29" t="s">
        <v>42</v>
      </c>
      <c r="B50" s="72">
        <v>385</v>
      </c>
      <c r="C50" s="72">
        <v>1567</v>
      </c>
      <c r="D50" s="72">
        <v>-6719</v>
      </c>
      <c r="E50" s="72">
        <v>1615</v>
      </c>
      <c r="F50" s="72">
        <v>-872</v>
      </c>
      <c r="G50" s="72">
        <v>856</v>
      </c>
      <c r="H50" s="95">
        <v>-192</v>
      </c>
      <c r="I50" s="95">
        <v>-178</v>
      </c>
      <c r="J50" s="36">
        <v>-239</v>
      </c>
      <c r="K50" s="17">
        <v>48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</row>
    <row r="51" spans="1:21" x14ac:dyDescent="0.2">
      <c r="A51" s="29" t="s">
        <v>43</v>
      </c>
      <c r="B51" s="60">
        <v>-23149</v>
      </c>
      <c r="C51" s="60">
        <v>-17878</v>
      </c>
      <c r="D51" s="60">
        <v>-17190</v>
      </c>
      <c r="E51" s="60">
        <v>-16044</v>
      </c>
      <c r="F51" s="60">
        <v>-8022</v>
      </c>
      <c r="G51" s="60">
        <v>-17648</v>
      </c>
      <c r="H51" s="60">
        <v>-18107</v>
      </c>
      <c r="I51" s="60">
        <v>-18666</v>
      </c>
      <c r="J51" s="60">
        <v>-17228.400000000001</v>
      </c>
      <c r="K51" s="60">
        <v>-15705</v>
      </c>
      <c r="L51" s="60">
        <v>16642</v>
      </c>
      <c r="M51" s="93">
        <v>16642</v>
      </c>
      <c r="N51" s="49">
        <v>15715</v>
      </c>
      <c r="O51" s="86">
        <v>19461.947</v>
      </c>
      <c r="P51" s="49">
        <v>13360.8</v>
      </c>
      <c r="Q51" s="49">
        <v>11104.965</v>
      </c>
      <c r="R51" s="49">
        <v>13478</v>
      </c>
      <c r="S51" s="49">
        <v>14711</v>
      </c>
    </row>
    <row r="52" spans="1:21" x14ac:dyDescent="0.2">
      <c r="A52" s="29" t="s">
        <v>44</v>
      </c>
      <c r="B52" s="72">
        <f>B49+B50+B51</f>
        <v>11924</v>
      </c>
      <c r="C52" s="72">
        <f t="shared" ref="C52:H52" si="15">C49+C50+C51</f>
        <v>17657</v>
      </c>
      <c r="D52" s="72">
        <f t="shared" si="15"/>
        <v>5000</v>
      </c>
      <c r="E52" s="72">
        <f t="shared" si="15"/>
        <v>12379</v>
      </c>
      <c r="F52" s="72">
        <f t="shared" si="15"/>
        <v>16421</v>
      </c>
      <c r="G52" s="72">
        <f t="shared" si="15"/>
        <v>12022</v>
      </c>
      <c r="H52" s="72">
        <f t="shared" si="15"/>
        <v>7971.9400000000023</v>
      </c>
      <c r="I52" s="17">
        <f>I49+I50+I51+1</f>
        <v>10376.345999999998</v>
      </c>
      <c r="J52" s="17">
        <f>J49+J50+J51</f>
        <v>10347.599999999999</v>
      </c>
      <c r="K52" s="17">
        <f>K49+K50+K51</f>
        <v>6885.7540000000008</v>
      </c>
      <c r="L52" s="17">
        <f>L49-L51</f>
        <v>11448</v>
      </c>
      <c r="M52" s="16">
        <f>M49-M51</f>
        <v>10112</v>
      </c>
      <c r="N52" s="83">
        <f>+N49-N51</f>
        <v>9882.4729999999981</v>
      </c>
      <c r="O52" s="83">
        <f>+O49-O51</f>
        <v>8662.0529999999999</v>
      </c>
      <c r="P52" s="19">
        <f>+P49-P51</f>
        <v>6255.4880000000012</v>
      </c>
      <c r="Q52" s="19">
        <f>+Q49-Q51</f>
        <v>5196.0349999999999</v>
      </c>
      <c r="R52" s="19">
        <f>+R49-R51</f>
        <v>46357</v>
      </c>
      <c r="S52" s="19">
        <v>6416</v>
      </c>
    </row>
    <row r="53" spans="1:21" x14ac:dyDescent="0.2">
      <c r="A53" s="29" t="s">
        <v>45</v>
      </c>
      <c r="B53" s="69">
        <f t="shared" ref="B53:G53" si="16">C57</f>
        <v>150517.94</v>
      </c>
      <c r="C53" s="69">
        <f t="shared" si="16"/>
        <v>135373.94</v>
      </c>
      <c r="D53" s="69">
        <f t="shared" si="16"/>
        <v>130136.94</v>
      </c>
      <c r="E53" s="69">
        <f t="shared" si="16"/>
        <v>123613.94</v>
      </c>
      <c r="F53" s="82">
        <f t="shared" si="16"/>
        <v>109374.94</v>
      </c>
      <c r="G53" s="82">
        <f t="shared" si="16"/>
        <v>84266.94</v>
      </c>
      <c r="H53" s="69">
        <v>76970</v>
      </c>
      <c r="I53" s="69">
        <v>69338</v>
      </c>
      <c r="J53" s="38">
        <v>62282</v>
      </c>
      <c r="K53" s="38">
        <f t="shared" ref="K53:L53" si="17">L57</f>
        <v>57061</v>
      </c>
      <c r="L53" s="17">
        <f t="shared" si="17"/>
        <v>52303</v>
      </c>
      <c r="M53" s="16">
        <v>45924</v>
      </c>
      <c r="N53" s="19">
        <v>49081</v>
      </c>
      <c r="O53" s="20">
        <v>40831</v>
      </c>
      <c r="P53" s="19">
        <v>35038.383000000002</v>
      </c>
      <c r="Q53" s="19">
        <v>30279</v>
      </c>
      <c r="R53" s="19">
        <v>24529</v>
      </c>
      <c r="S53" s="19">
        <v>18187</v>
      </c>
    </row>
    <row r="54" spans="1:21" x14ac:dyDescent="0.2">
      <c r="A54" s="96" t="s">
        <v>46</v>
      </c>
      <c r="B54" s="38">
        <v>-3255</v>
      </c>
      <c r="C54" s="38">
        <v>-2513</v>
      </c>
      <c r="D54" s="38">
        <f>3707-3510</f>
        <v>197</v>
      </c>
      <c r="E54" s="38">
        <f>-2317-3539</f>
        <v>-5856</v>
      </c>
      <c r="F54" s="38">
        <f>1202-3384</f>
        <v>-2182</v>
      </c>
      <c r="G54" s="38">
        <f>-1515-3524</f>
        <v>-5039</v>
      </c>
      <c r="H54" s="38">
        <v>-118</v>
      </c>
      <c r="I54" s="38">
        <v>-189</v>
      </c>
      <c r="J54" s="36">
        <v>-79</v>
      </c>
      <c r="K54" s="38">
        <f>-574-505+98</f>
        <v>-981</v>
      </c>
      <c r="L54" s="36">
        <f>-424-220</f>
        <v>-644</v>
      </c>
      <c r="M54" s="16">
        <f>850-213-1</f>
        <v>636</v>
      </c>
      <c r="N54" s="18">
        <v>-242</v>
      </c>
      <c r="O54" s="42">
        <v>-412</v>
      </c>
      <c r="P54" s="18">
        <v>-463</v>
      </c>
      <c r="Q54" s="97">
        <v>-437</v>
      </c>
      <c r="R54" s="97">
        <v>-240</v>
      </c>
      <c r="S54" s="18">
        <v>-74</v>
      </c>
    </row>
    <row r="55" spans="1:21" x14ac:dyDescent="0.2">
      <c r="A55" s="29" t="s">
        <v>47</v>
      </c>
      <c r="B55" s="69">
        <v>0</v>
      </c>
      <c r="C55" s="69">
        <v>0</v>
      </c>
      <c r="D55" s="69">
        <v>0</v>
      </c>
      <c r="E55" s="69">
        <v>0</v>
      </c>
      <c r="F55" s="82">
        <v>0</v>
      </c>
      <c r="G55" s="82">
        <v>0</v>
      </c>
      <c r="H55" s="36">
        <v>-557</v>
      </c>
      <c r="I55" s="36">
        <v>-2555</v>
      </c>
      <c r="J55" s="36">
        <f>-232-2981</f>
        <v>-3213</v>
      </c>
      <c r="K55" s="38">
        <f>474-2427</f>
        <v>-1953</v>
      </c>
      <c r="L55" s="36">
        <f>-5240-806</f>
        <v>-6046</v>
      </c>
      <c r="M55" s="37">
        <v>-3087</v>
      </c>
      <c r="N55" s="18">
        <v>-4556.7830000000004</v>
      </c>
      <c r="O55" s="88" t="s">
        <v>14</v>
      </c>
      <c r="P55" s="88" t="s">
        <v>14</v>
      </c>
      <c r="Q55" s="88" t="s">
        <v>14</v>
      </c>
      <c r="R55" s="88" t="s">
        <v>14</v>
      </c>
      <c r="S55" s="88" t="s">
        <v>14</v>
      </c>
    </row>
    <row r="56" spans="1:21" x14ac:dyDescent="0.2">
      <c r="A56" s="29" t="s">
        <v>48</v>
      </c>
      <c r="B56" s="69">
        <v>0</v>
      </c>
      <c r="C56" s="69">
        <v>0</v>
      </c>
      <c r="D56" s="69">
        <f>-1018+1058</f>
        <v>40</v>
      </c>
      <c r="E56" s="69">
        <v>0</v>
      </c>
      <c r="F56" s="82">
        <v>0</v>
      </c>
      <c r="G56" s="79">
        <f>16379+295+1451</f>
        <v>18125</v>
      </c>
      <c r="H56" s="79" t="s">
        <v>14</v>
      </c>
      <c r="I56" s="79" t="s">
        <v>14</v>
      </c>
      <c r="J56" s="79" t="s">
        <v>14</v>
      </c>
      <c r="K56" s="98">
        <v>1269</v>
      </c>
      <c r="L56" s="98" t="s">
        <v>14</v>
      </c>
      <c r="M56" s="97">
        <v>-1282</v>
      </c>
      <c r="N56" s="99">
        <v>-8241</v>
      </c>
      <c r="O56" s="88" t="s">
        <v>14</v>
      </c>
      <c r="P56" s="88" t="s">
        <v>14</v>
      </c>
      <c r="Q56" s="88" t="s">
        <v>14</v>
      </c>
      <c r="R56" s="88" t="s">
        <v>14</v>
      </c>
      <c r="S56" s="88" t="s">
        <v>14</v>
      </c>
    </row>
    <row r="57" spans="1:21" x14ac:dyDescent="0.2">
      <c r="A57" s="29" t="s">
        <v>49</v>
      </c>
      <c r="B57" s="45">
        <f t="shared" ref="B57:D57" si="18">SUM(B52:B56)</f>
        <v>159186.94</v>
      </c>
      <c r="C57" s="45">
        <f t="shared" si="18"/>
        <v>150517.94</v>
      </c>
      <c r="D57" s="45">
        <f t="shared" si="18"/>
        <v>135373.94</v>
      </c>
      <c r="E57" s="45">
        <f t="shared" ref="E57:M57" si="19">SUM(E52:E56)</f>
        <v>130136.94</v>
      </c>
      <c r="F57" s="45">
        <f t="shared" si="19"/>
        <v>123613.94</v>
      </c>
      <c r="G57" s="45">
        <f t="shared" si="19"/>
        <v>109374.94</v>
      </c>
      <c r="H57" s="45">
        <f t="shared" si="19"/>
        <v>84266.94</v>
      </c>
      <c r="I57" s="45">
        <f t="shared" si="19"/>
        <v>76970.34599999999</v>
      </c>
      <c r="J57" s="45">
        <f t="shared" si="19"/>
        <v>69337.600000000006</v>
      </c>
      <c r="K57" s="45">
        <f t="shared" si="19"/>
        <v>62281.754000000001</v>
      </c>
      <c r="L57" s="45">
        <f t="shared" si="19"/>
        <v>57061</v>
      </c>
      <c r="M57" s="46">
        <f t="shared" si="19"/>
        <v>52303</v>
      </c>
      <c r="N57" s="47">
        <f>+N52+N53+N54+N55+N56</f>
        <v>45923.689999999995</v>
      </c>
      <c r="O57" s="47">
        <f>+O52+O53+O54</f>
        <v>49081.053</v>
      </c>
      <c r="P57" s="48">
        <f>+P52+P53+P54</f>
        <v>40830.870999999999</v>
      </c>
      <c r="Q57" s="48">
        <f>+Q52+Q53+Q54</f>
        <v>35038.035000000003</v>
      </c>
      <c r="R57" s="48">
        <f>+R52+R53+R54</f>
        <v>70646</v>
      </c>
      <c r="S57" s="48">
        <v>24529</v>
      </c>
    </row>
    <row r="58" spans="1:21" x14ac:dyDescent="0.2">
      <c r="A58" s="53"/>
      <c r="B58" s="63"/>
      <c r="C58" s="63"/>
      <c r="D58" s="63"/>
      <c r="E58" s="63"/>
      <c r="F58" s="71"/>
      <c r="G58" s="71"/>
      <c r="H58" s="71"/>
      <c r="I58" s="71"/>
      <c r="J58" s="71"/>
      <c r="K58" s="71"/>
      <c r="L58" s="71"/>
      <c r="M58" s="71"/>
      <c r="N58" s="71"/>
      <c r="O58" s="55"/>
      <c r="S58" s="7"/>
    </row>
    <row r="59" spans="1:21" x14ac:dyDescent="0.2">
      <c r="A59" s="29" t="s">
        <v>50</v>
      </c>
      <c r="B59" s="100">
        <v>0.1341</v>
      </c>
      <c r="C59" s="100">
        <v>0.1356</v>
      </c>
      <c r="D59" s="100">
        <v>0.1164</v>
      </c>
      <c r="E59" s="100">
        <v>0.10016</v>
      </c>
      <c r="F59" s="101">
        <v>0.13424</v>
      </c>
      <c r="G59" s="101">
        <v>0.14199999999999999</v>
      </c>
      <c r="H59" s="100">
        <v>0.1512</v>
      </c>
      <c r="I59" s="100">
        <v>0.1741</v>
      </c>
      <c r="J59" s="100">
        <v>0.1832</v>
      </c>
      <c r="K59" s="100">
        <v>0.1777</v>
      </c>
      <c r="L59" s="100">
        <v>0.2142</v>
      </c>
      <c r="M59" s="101">
        <v>0.18912000000000001</v>
      </c>
      <c r="N59" s="102">
        <v>0.19670000000000001</v>
      </c>
      <c r="O59" s="103">
        <v>0.12909999999999999</v>
      </c>
      <c r="P59" s="102">
        <v>0.10517</v>
      </c>
      <c r="Q59" s="102">
        <v>9.7000000000000003E-2</v>
      </c>
      <c r="R59" s="102">
        <v>0.1108</v>
      </c>
      <c r="S59" s="102">
        <v>0.10680000000000001</v>
      </c>
    </row>
    <row r="60" spans="1:21" x14ac:dyDescent="0.2">
      <c r="A60" s="29" t="s">
        <v>51</v>
      </c>
      <c r="B60" s="104">
        <f t="shared" ref="B60:I60" si="20">B49/22920</f>
        <v>1.5134380453752181</v>
      </c>
      <c r="C60" s="105">
        <f t="shared" si="20"/>
        <v>1.4820244328097731</v>
      </c>
      <c r="D60" s="105">
        <f t="shared" si="20"/>
        <v>1.2613001745200698</v>
      </c>
      <c r="E60" s="105">
        <f t="shared" si="20"/>
        <v>1.169633507853403</v>
      </c>
      <c r="F60" s="105">
        <f t="shared" si="20"/>
        <v>1.1044938917975566</v>
      </c>
      <c r="G60" s="105">
        <f t="shared" si="20"/>
        <v>1.2571553228621291</v>
      </c>
      <c r="H60" s="105">
        <f t="shared" si="20"/>
        <v>1.1462015706806283</v>
      </c>
      <c r="I60" s="105">
        <f t="shared" si="20"/>
        <v>1.2748405759162302</v>
      </c>
      <c r="J60" s="105">
        <f>J49/11720-0.01</f>
        <v>2.3632935153583619</v>
      </c>
      <c r="K60" s="105">
        <f>K49/11720</f>
        <v>1.9234431740614335</v>
      </c>
      <c r="L60" s="106">
        <v>2.48</v>
      </c>
      <c r="M60" s="107">
        <v>2.2999999999999998</v>
      </c>
      <c r="N60" s="108">
        <f>(+N49)/11720</f>
        <v>2.1840847269624573</v>
      </c>
      <c r="O60" s="108">
        <f>(+O49)/11720</f>
        <v>2.3996587030716725</v>
      </c>
      <c r="P60" s="109">
        <f>(+P49)/11720</f>
        <v>1.673744709897611</v>
      </c>
      <c r="Q60" s="109">
        <f>(+Q49)/11720</f>
        <v>1.3908703071672355</v>
      </c>
      <c r="R60" s="109">
        <f>(+R49)/11720</f>
        <v>5.1053754266211602</v>
      </c>
      <c r="S60" s="109">
        <v>1.8026450511945393</v>
      </c>
    </row>
    <row r="61" spans="1:21" x14ac:dyDescent="0.2">
      <c r="A61" s="29" t="s">
        <v>52</v>
      </c>
      <c r="B61" s="105">
        <f>-B51/22920</f>
        <v>1.0099912739965096</v>
      </c>
      <c r="C61" s="105">
        <f t="shared" ref="C61:G61" si="21">-C51/22920</f>
        <v>0.7800174520069808</v>
      </c>
      <c r="D61" s="105">
        <f t="shared" si="21"/>
        <v>0.75</v>
      </c>
      <c r="E61" s="105">
        <f t="shared" si="21"/>
        <v>0.7</v>
      </c>
      <c r="F61" s="105">
        <f t="shared" si="21"/>
        <v>0.35</v>
      </c>
      <c r="G61" s="105">
        <f t="shared" si="21"/>
        <v>0.76998254799301924</v>
      </c>
      <c r="H61" s="105">
        <v>0.79</v>
      </c>
      <c r="I61" s="105">
        <f>-I51/11720</f>
        <v>1.5926621160409555</v>
      </c>
      <c r="J61" s="105">
        <f>-J51/11720</f>
        <v>1.4700000000000002</v>
      </c>
      <c r="K61" s="105">
        <f>-K51/11720</f>
        <v>1.3400170648464165</v>
      </c>
      <c r="L61" s="106">
        <v>1.42</v>
      </c>
      <c r="M61" s="107">
        <v>1.42</v>
      </c>
      <c r="N61" s="108">
        <f>(+N51)/11720</f>
        <v>1.3408703071672354</v>
      </c>
      <c r="O61" s="108">
        <f>(+O51)/11720</f>
        <v>1.6605756825938567</v>
      </c>
      <c r="P61" s="109">
        <f>(+P51)/11720</f>
        <v>1.1399999999999999</v>
      </c>
      <c r="Q61" s="109">
        <f>(+Q51)/11720</f>
        <v>0.9475226109215017</v>
      </c>
      <c r="R61" s="109">
        <f>(+R51)/11720</f>
        <v>1.1499999999999999</v>
      </c>
      <c r="S61" s="109">
        <v>1.2552047781569966</v>
      </c>
    </row>
    <row r="62" spans="1:21" x14ac:dyDescent="0.2">
      <c r="A62" s="29" t="s">
        <v>53</v>
      </c>
      <c r="B62" s="127" t="s">
        <v>69</v>
      </c>
      <c r="C62" s="127" t="s">
        <v>70</v>
      </c>
      <c r="D62" s="127" t="s">
        <v>71</v>
      </c>
      <c r="E62" s="127" t="s">
        <v>72</v>
      </c>
      <c r="F62" s="128" t="s">
        <v>73</v>
      </c>
      <c r="G62" s="129" t="s">
        <v>74</v>
      </c>
      <c r="H62" s="127" t="s">
        <v>75</v>
      </c>
      <c r="I62" s="127" t="s">
        <v>76</v>
      </c>
      <c r="J62" s="127" t="s">
        <v>77</v>
      </c>
      <c r="K62" s="128" t="s">
        <v>78</v>
      </c>
      <c r="L62" s="110" t="s">
        <v>54</v>
      </c>
      <c r="M62" s="110" t="s">
        <v>55</v>
      </c>
      <c r="N62" s="110" t="s">
        <v>55</v>
      </c>
      <c r="O62" s="110" t="s">
        <v>55</v>
      </c>
      <c r="P62" s="111" t="s">
        <v>56</v>
      </c>
      <c r="Q62" s="111" t="s">
        <v>57</v>
      </c>
      <c r="R62" s="111" t="s">
        <v>58</v>
      </c>
      <c r="S62" s="110" t="s">
        <v>59</v>
      </c>
      <c r="U62" s="112"/>
    </row>
    <row r="63" spans="1:21" x14ac:dyDescent="0.2">
      <c r="A63" s="7" t="s">
        <v>60</v>
      </c>
      <c r="B63" s="38">
        <f>46466+2578</f>
        <v>49044</v>
      </c>
      <c r="C63" s="38">
        <f>27801+970</f>
        <v>28771</v>
      </c>
      <c r="D63" s="38">
        <f>20782+763</f>
        <v>21545</v>
      </c>
      <c r="E63" s="38">
        <v>27658</v>
      </c>
      <c r="F63" s="38">
        <v>28211</v>
      </c>
      <c r="G63" s="38">
        <f>90988+6255</f>
        <v>97243</v>
      </c>
      <c r="H63" s="38">
        <f>38544.131+6845.467</f>
        <v>45389.597999999998</v>
      </c>
      <c r="I63" s="113">
        <f>20982.242+1280.019</f>
        <v>22262.260999999999</v>
      </c>
      <c r="J63" s="113">
        <f>30102.983+1177.611</f>
        <v>31280.594000000001</v>
      </c>
      <c r="K63" s="59">
        <f>27625.711+718.049</f>
        <v>28343.759999999998</v>
      </c>
      <c r="L63" s="114">
        <f>51218.656+575.133</f>
        <v>51793.789000000004</v>
      </c>
      <c r="M63" s="114">
        <v>26108.07</v>
      </c>
      <c r="N63" s="114">
        <v>27199.569</v>
      </c>
      <c r="O63" s="115">
        <v>42880.582999999999</v>
      </c>
      <c r="P63" s="115">
        <v>17403.614000000001</v>
      </c>
      <c r="Q63" s="115">
        <v>12706.107</v>
      </c>
      <c r="R63" s="115">
        <v>20155.464</v>
      </c>
      <c r="S63" s="114">
        <v>41364.303</v>
      </c>
    </row>
    <row r="64" spans="1:21" ht="21" customHeight="1" x14ac:dyDescent="0.2">
      <c r="C64" s="116"/>
      <c r="D64" s="116"/>
      <c r="E64" s="116"/>
      <c r="F64" s="116"/>
      <c r="S64" s="118"/>
    </row>
    <row r="65" spans="1:20" x14ac:dyDescent="0.2">
      <c r="C65" s="71"/>
      <c r="D65" s="71"/>
      <c r="E65" s="71"/>
      <c r="G65" s="71"/>
    </row>
    <row r="66" spans="1:20" x14ac:dyDescent="0.2">
      <c r="C66" s="71"/>
      <c r="D66" s="71"/>
      <c r="G66" s="71"/>
    </row>
    <row r="67" spans="1:20" hidden="1" x14ac:dyDescent="0.2">
      <c r="A67" t="s">
        <v>61</v>
      </c>
      <c r="B67" s="76">
        <f t="shared" ref="B67:E67" si="22">B21+14878</f>
        <v>97080</v>
      </c>
      <c r="C67" s="76">
        <f>C21+19585</f>
        <v>119766</v>
      </c>
      <c r="D67" s="76">
        <f>D21+16102</f>
        <v>137815</v>
      </c>
      <c r="E67" s="76">
        <f t="shared" si="22"/>
        <v>152604</v>
      </c>
      <c r="F67" s="76">
        <f>F21+14878</f>
        <v>167950</v>
      </c>
      <c r="G67" s="76">
        <f>G21+15263</f>
        <v>183060</v>
      </c>
      <c r="H67" s="76">
        <f>H21+11965</f>
        <v>135360.65</v>
      </c>
      <c r="I67" s="76">
        <f>I21+13635</f>
        <v>108343.726</v>
      </c>
      <c r="J67" s="76">
        <f>J21+12115</f>
        <v>119963</v>
      </c>
      <c r="K67" s="50">
        <f>16739+K21</f>
        <v>127492.70600000001</v>
      </c>
      <c r="L67" s="50">
        <f>22084+L21</f>
        <v>129372</v>
      </c>
      <c r="M67" s="50">
        <f>25452+M21</f>
        <v>106812</v>
      </c>
      <c r="N67" s="50">
        <f>15658+N21</f>
        <v>100573.64499999999</v>
      </c>
      <c r="O67" s="50">
        <f>13795+O21</f>
        <v>102643.03200000001</v>
      </c>
    </row>
    <row r="68" spans="1:20" hidden="1" x14ac:dyDescent="0.2">
      <c r="A68" t="s">
        <v>62</v>
      </c>
      <c r="B68" s="76">
        <f t="shared" ref="B68:T68" si="23">B18+B19+B20</f>
        <v>289003</v>
      </c>
      <c r="C68" s="76">
        <f t="shared" si="23"/>
        <v>276197</v>
      </c>
      <c r="D68" s="76">
        <f t="shared" si="23"/>
        <v>259092</v>
      </c>
      <c r="E68" s="76">
        <f t="shared" si="23"/>
        <v>239760</v>
      </c>
      <c r="F68" s="76">
        <f t="shared" si="23"/>
        <v>227380.79200000002</v>
      </c>
      <c r="G68" s="76">
        <f t="shared" si="23"/>
        <v>210958.79200000002</v>
      </c>
      <c r="H68" s="76">
        <f t="shared" si="23"/>
        <v>205099.49000000002</v>
      </c>
      <c r="I68" s="76">
        <f t="shared" si="23"/>
        <v>196025.946</v>
      </c>
      <c r="J68" s="76">
        <f t="shared" si="23"/>
        <v>187414.13199999998</v>
      </c>
      <c r="K68" s="76">
        <f t="shared" si="23"/>
        <v>181129</v>
      </c>
      <c r="L68" s="76">
        <f t="shared" si="23"/>
        <v>170808</v>
      </c>
      <c r="M68" s="76">
        <f t="shared" si="23"/>
        <v>159423</v>
      </c>
      <c r="N68" s="76">
        <f t="shared" si="23"/>
        <v>150523</v>
      </c>
      <c r="O68" s="76">
        <f t="shared" si="23"/>
        <v>153758.81099999999</v>
      </c>
      <c r="P68" s="76">
        <f t="shared" si="23"/>
        <v>146244</v>
      </c>
      <c r="Q68" s="76">
        <f t="shared" si="23"/>
        <v>139829</v>
      </c>
      <c r="R68" s="76">
        <f t="shared" si="23"/>
        <v>134150</v>
      </c>
      <c r="S68" s="76">
        <f t="shared" si="23"/>
        <v>128453</v>
      </c>
      <c r="T68" s="76">
        <f t="shared" si="23"/>
        <v>0</v>
      </c>
    </row>
    <row r="69" spans="1:20" hidden="1" x14ac:dyDescent="0.2">
      <c r="A69" t="s">
        <v>63</v>
      </c>
      <c r="B69" s="76">
        <f t="shared" ref="B69:I69" si="24">B68+B67</f>
        <v>386083</v>
      </c>
      <c r="C69" s="76">
        <f t="shared" si="24"/>
        <v>395963</v>
      </c>
      <c r="D69" s="76">
        <f t="shared" si="24"/>
        <v>396907</v>
      </c>
      <c r="E69" s="76">
        <f t="shared" si="24"/>
        <v>392364</v>
      </c>
      <c r="F69" s="76">
        <f t="shared" si="24"/>
        <v>395330.79200000002</v>
      </c>
      <c r="G69" s="76">
        <f t="shared" si="24"/>
        <v>394018.79200000002</v>
      </c>
      <c r="H69" s="76">
        <f t="shared" si="24"/>
        <v>340460.14</v>
      </c>
      <c r="I69" s="76">
        <f t="shared" si="24"/>
        <v>304369.67200000002</v>
      </c>
      <c r="J69" s="76">
        <f>J68+J67</f>
        <v>307377.13199999998</v>
      </c>
      <c r="K69" s="54">
        <f>K68+K67</f>
        <v>308621.70600000001</v>
      </c>
      <c r="L69" s="54">
        <f t="shared" ref="L69:O69" si="25">L68+L67</f>
        <v>300180</v>
      </c>
      <c r="M69" s="54">
        <f t="shared" si="25"/>
        <v>266235</v>
      </c>
      <c r="N69" s="54">
        <f t="shared" si="25"/>
        <v>251096.64499999999</v>
      </c>
      <c r="O69" s="54">
        <f t="shared" si="25"/>
        <v>256401.84299999999</v>
      </c>
    </row>
    <row r="70" spans="1:20" hidden="1" x14ac:dyDescent="0.2">
      <c r="A70" t="s">
        <v>64</v>
      </c>
      <c r="B70" s="119">
        <f t="shared" ref="B70:I70" si="26">B67/B69</f>
        <v>0.25144852272697837</v>
      </c>
      <c r="C70" s="119">
        <f t="shared" si="26"/>
        <v>0.30246765480613086</v>
      </c>
      <c r="D70" s="119">
        <f t="shared" si="26"/>
        <v>0.34722239718624265</v>
      </c>
      <c r="E70" s="119">
        <f t="shared" si="26"/>
        <v>0.38893476465730803</v>
      </c>
      <c r="F70" s="119">
        <f t="shared" si="26"/>
        <v>0.42483409690991131</v>
      </c>
      <c r="G70" s="119">
        <f t="shared" si="26"/>
        <v>0.46459713017951693</v>
      </c>
      <c r="H70" s="119">
        <f t="shared" si="26"/>
        <v>0.3975814907436741</v>
      </c>
      <c r="I70" s="119">
        <f t="shared" si="26"/>
        <v>0.35596097761014767</v>
      </c>
      <c r="J70" s="119">
        <f>J67/J69</f>
        <v>0.39027952150975243</v>
      </c>
      <c r="K70" s="120">
        <f>K67/K69</f>
        <v>0.41310349700419324</v>
      </c>
      <c r="L70" s="120">
        <f t="shared" ref="L70:O70" si="27">L67/L69</f>
        <v>0.43098141115330801</v>
      </c>
      <c r="M70" s="120">
        <f t="shared" si="27"/>
        <v>0.40119443348921063</v>
      </c>
      <c r="N70" s="120">
        <f t="shared" si="27"/>
        <v>0.40053758981925064</v>
      </c>
      <c r="O70" s="120">
        <f t="shared" si="27"/>
        <v>0.40032096025144409</v>
      </c>
    </row>
    <row r="71" spans="1:20" hidden="1" x14ac:dyDescent="0.2">
      <c r="A71" t="s">
        <v>65</v>
      </c>
      <c r="B71" s="121">
        <f t="shared" ref="B71:E71" si="28">1-B70</f>
        <v>0.74855147727302163</v>
      </c>
      <c r="C71" s="121">
        <f t="shared" si="28"/>
        <v>0.69753234519386909</v>
      </c>
      <c r="D71" s="121">
        <f t="shared" si="28"/>
        <v>0.6527776028137573</v>
      </c>
      <c r="E71" s="121">
        <f t="shared" si="28"/>
        <v>0.61106523534269197</v>
      </c>
      <c r="F71" s="121">
        <f>1-F70</f>
        <v>0.57516590309008864</v>
      </c>
      <c r="G71" s="121">
        <f t="shared" ref="G71:K71" si="29">1-G70</f>
        <v>0.53540286982048313</v>
      </c>
      <c r="H71" s="121">
        <f t="shared" si="29"/>
        <v>0.6024185092563259</v>
      </c>
      <c r="I71" s="121">
        <f t="shared" si="29"/>
        <v>0.64403902238985233</v>
      </c>
      <c r="J71" s="121">
        <f t="shared" si="29"/>
        <v>0.60972047849024757</v>
      </c>
      <c r="K71" s="121">
        <f t="shared" si="29"/>
        <v>0.58689650299580676</v>
      </c>
    </row>
    <row r="72" spans="1:20" hidden="1" x14ac:dyDescent="0.2">
      <c r="G72" s="76"/>
      <c r="H72" s="76"/>
    </row>
    <row r="73" spans="1:20" hidden="1" x14ac:dyDescent="0.2">
      <c r="A73" t="s">
        <v>66</v>
      </c>
      <c r="B73" s="50">
        <f t="shared" ref="B73:N73" si="30">B49</f>
        <v>34688</v>
      </c>
      <c r="C73" s="50">
        <f t="shared" si="30"/>
        <v>33968</v>
      </c>
      <c r="D73" s="50">
        <f t="shared" si="30"/>
        <v>28909</v>
      </c>
      <c r="E73" s="50">
        <f t="shared" si="30"/>
        <v>26808</v>
      </c>
      <c r="F73" s="50">
        <f t="shared" si="30"/>
        <v>25315</v>
      </c>
      <c r="G73" s="50">
        <f t="shared" si="30"/>
        <v>28814</v>
      </c>
      <c r="H73" s="50">
        <f t="shared" si="30"/>
        <v>26270.940000000002</v>
      </c>
      <c r="I73" s="50">
        <f t="shared" si="30"/>
        <v>29219.345999999998</v>
      </c>
      <c r="J73" s="50">
        <f t="shared" si="30"/>
        <v>27815</v>
      </c>
      <c r="K73" s="50">
        <f t="shared" si="30"/>
        <v>22542.754000000001</v>
      </c>
      <c r="L73" s="50">
        <f t="shared" si="30"/>
        <v>28090</v>
      </c>
      <c r="M73" s="50">
        <f t="shared" si="30"/>
        <v>26754</v>
      </c>
      <c r="N73" s="50">
        <f t="shared" si="30"/>
        <v>25597.472999999998</v>
      </c>
    </row>
    <row r="74" spans="1:20" hidden="1" x14ac:dyDescent="0.2">
      <c r="A74" t="s">
        <v>67</v>
      </c>
      <c r="B74" s="54">
        <f t="shared" ref="B74:N74" si="31">+(B68+C68)/2</f>
        <v>282600</v>
      </c>
      <c r="C74" s="54">
        <f t="shared" si="31"/>
        <v>267644.5</v>
      </c>
      <c r="D74" s="54">
        <f t="shared" si="31"/>
        <v>249426</v>
      </c>
      <c r="E74" s="54">
        <f t="shared" si="31"/>
        <v>233570.39600000001</v>
      </c>
      <c r="F74" s="54">
        <f t="shared" si="31"/>
        <v>219169.79200000002</v>
      </c>
      <c r="G74" s="54">
        <f t="shared" si="31"/>
        <v>208029.141</v>
      </c>
      <c r="H74" s="54">
        <f t="shared" si="31"/>
        <v>200562.71799999999</v>
      </c>
      <c r="I74" s="54">
        <f t="shared" si="31"/>
        <v>191720.03899999999</v>
      </c>
      <c r="J74" s="54">
        <f t="shared" si="31"/>
        <v>184271.56599999999</v>
      </c>
      <c r="K74" s="54">
        <f t="shared" si="31"/>
        <v>175968.5</v>
      </c>
      <c r="L74" s="54">
        <f t="shared" si="31"/>
        <v>165115.5</v>
      </c>
      <c r="M74" s="54">
        <f t="shared" si="31"/>
        <v>154973</v>
      </c>
      <c r="N74" s="54">
        <f t="shared" si="31"/>
        <v>152140.90549999999</v>
      </c>
    </row>
    <row r="75" spans="1:20" s="124" customFormat="1" ht="13.5" hidden="1" customHeight="1" x14ac:dyDescent="0.2">
      <c r="A75" t="s">
        <v>68</v>
      </c>
      <c r="B75" s="122">
        <f t="shared" ref="B75:N75" si="32">+B73/B74</f>
        <v>0.12274593064401981</v>
      </c>
      <c r="C75" s="122">
        <f t="shared" si="32"/>
        <v>0.12691461995295999</v>
      </c>
      <c r="D75" s="122">
        <f t="shared" si="32"/>
        <v>0.11590211124742408</v>
      </c>
      <c r="E75" s="122">
        <f t="shared" si="32"/>
        <v>0.11477481932256517</v>
      </c>
      <c r="F75" s="122">
        <f t="shared" si="32"/>
        <v>0.11550405632542644</v>
      </c>
      <c r="G75" s="122">
        <f t="shared" si="32"/>
        <v>0.13850944084800118</v>
      </c>
      <c r="H75" s="122">
        <f t="shared" si="32"/>
        <v>0.13098615865387306</v>
      </c>
      <c r="I75" s="122">
        <f t="shared" si="32"/>
        <v>0.15240632201206677</v>
      </c>
      <c r="J75" s="122">
        <f t="shared" si="32"/>
        <v>0.15094569717826137</v>
      </c>
      <c r="K75" s="122">
        <f t="shared" si="32"/>
        <v>0.12810675774357344</v>
      </c>
      <c r="L75" s="122">
        <f t="shared" si="32"/>
        <v>0.17012333790589013</v>
      </c>
      <c r="M75" s="122">
        <f t="shared" si="32"/>
        <v>0.17263652378156194</v>
      </c>
      <c r="N75" s="122">
        <f t="shared" si="32"/>
        <v>0.16824845964913754</v>
      </c>
      <c r="O75" s="123"/>
    </row>
    <row r="76" spans="1:20" x14ac:dyDescent="0.2">
      <c r="H76"/>
      <c r="I76"/>
      <c r="J76"/>
    </row>
    <row r="77" spans="1:20" x14ac:dyDescent="0.2">
      <c r="H77"/>
      <c r="I77"/>
      <c r="J77"/>
      <c r="N77" s="125"/>
      <c r="O77" s="126"/>
      <c r="P77"/>
    </row>
    <row r="78" spans="1:20" x14ac:dyDescent="0.2">
      <c r="H78"/>
      <c r="I78"/>
      <c r="J78"/>
    </row>
    <row r="79" spans="1:20" x14ac:dyDescent="0.2">
      <c r="H79"/>
      <c r="I79"/>
      <c r="J79"/>
    </row>
    <row r="80" spans="1:20" x14ac:dyDescent="0.2">
      <c r="H80"/>
      <c r="I80"/>
      <c r="J80"/>
    </row>
    <row r="81" spans="8:10" x14ac:dyDescent="0.2">
      <c r="H81"/>
      <c r="I81"/>
      <c r="J81"/>
    </row>
    <row r="82" spans="8:10" x14ac:dyDescent="0.2">
      <c r="H82"/>
      <c r="I82"/>
      <c r="J82"/>
    </row>
    <row r="83" spans="8:10" x14ac:dyDescent="0.2">
      <c r="H83"/>
      <c r="I83"/>
      <c r="J83"/>
    </row>
    <row r="84" spans="8:10" x14ac:dyDescent="0.2">
      <c r="H84"/>
      <c r="I84"/>
      <c r="J84"/>
    </row>
    <row r="85" spans="8:10" x14ac:dyDescent="0.2">
      <c r="H85"/>
      <c r="I85"/>
      <c r="J85"/>
    </row>
    <row r="86" spans="8:10" x14ac:dyDescent="0.2">
      <c r="H86"/>
      <c r="I86"/>
      <c r="J86"/>
    </row>
    <row r="87" spans="8:10" x14ac:dyDescent="0.2">
      <c r="H87"/>
      <c r="I87"/>
      <c r="J87"/>
    </row>
    <row r="88" spans="8:10" x14ac:dyDescent="0.2">
      <c r="H88"/>
      <c r="I88"/>
      <c r="J88"/>
    </row>
    <row r="89" spans="8:10" x14ac:dyDescent="0.2">
      <c r="H89"/>
      <c r="I89"/>
      <c r="J89"/>
    </row>
    <row r="90" spans="8:10" x14ac:dyDescent="0.2">
      <c r="H90"/>
      <c r="I90"/>
      <c r="J90"/>
    </row>
    <row r="91" spans="8:10" x14ac:dyDescent="0.2">
      <c r="H91"/>
      <c r="I91"/>
      <c r="J91"/>
    </row>
  </sheetData>
  <mergeCells count="1">
    <mergeCell ref="A1:S1"/>
  </mergeCells>
  <pageMargins left="0.75" right="0.75" top="1" bottom="1" header="0.5" footer="0.5"/>
  <pageSetup scale="5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Statistics </vt:lpstr>
    </vt:vector>
  </TitlesOfParts>
  <Company>St. Lucia Electricity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Hester Hyacinth</dc:creator>
  <cp:lastModifiedBy>Roger Duncan Joseph</cp:lastModifiedBy>
  <dcterms:created xsi:type="dcterms:W3CDTF">2018-03-19T20:55:40Z</dcterms:created>
  <dcterms:modified xsi:type="dcterms:W3CDTF">2018-04-13T17:40:06Z</dcterms:modified>
</cp:coreProperties>
</file>