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Website\"/>
    </mc:Choice>
  </mc:AlternateContent>
  <bookViews>
    <workbookView xWindow="0" yWindow="0" windowWidth="20490" windowHeight="7620"/>
  </bookViews>
  <sheets>
    <sheet name="Operating Statistic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K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P32" i="1"/>
  <c r="O32" i="1"/>
  <c r="O33" i="1" s="1"/>
  <c r="K32" i="1"/>
  <c r="J32" i="1"/>
  <c r="J33" i="1" s="1"/>
  <c r="H32" i="1"/>
  <c r="F32" i="1"/>
  <c r="D32" i="1"/>
  <c r="B32" i="1"/>
  <c r="R29" i="1"/>
  <c r="R32" i="1" s="1"/>
  <c r="R33" i="1" s="1"/>
  <c r="Q29" i="1"/>
  <c r="Q32" i="1" s="1"/>
  <c r="O29" i="1"/>
  <c r="N29" i="1"/>
  <c r="N32" i="1" s="1"/>
  <c r="M29" i="1"/>
  <c r="L29" i="1"/>
  <c r="L32" i="1" s="1"/>
  <c r="L33" i="1" s="1"/>
  <c r="J29" i="1"/>
  <c r="I29" i="1"/>
  <c r="I32" i="1" s="1"/>
  <c r="I33" i="1" s="1"/>
  <c r="H29" i="1"/>
  <c r="G29" i="1"/>
  <c r="G32" i="1" s="1"/>
  <c r="G33" i="1" s="1"/>
  <c r="F29" i="1"/>
  <c r="E29" i="1"/>
  <c r="D29" i="1"/>
  <c r="C29" i="1"/>
  <c r="B29" i="1"/>
  <c r="E28" i="1"/>
  <c r="E37" i="1" s="1"/>
  <c r="D28" i="1"/>
  <c r="D37" i="1" s="1"/>
  <c r="C28" i="1"/>
  <c r="C37" i="1" s="1"/>
  <c r="B28" i="1"/>
  <c r="B37" i="1" s="1"/>
  <c r="O25" i="1"/>
  <c r="N25" i="1"/>
  <c r="Q21" i="1"/>
  <c r="Q25" i="1" s="1"/>
  <c r="K21" i="1"/>
  <c r="O20" i="1"/>
  <c r="H19" i="1"/>
  <c r="R17" i="1"/>
  <c r="R24" i="1" s="1"/>
  <c r="Q17" i="1"/>
  <c r="N17" i="1"/>
  <c r="L17" i="1"/>
  <c r="K24" i="1" s="1"/>
  <c r="K17" i="1"/>
  <c r="R14" i="1"/>
  <c r="R38" i="1" s="1"/>
  <c r="P14" i="1"/>
  <c r="P38" i="1" s="1"/>
  <c r="O14" i="1"/>
  <c r="O38" i="1" s="1"/>
  <c r="M14" i="1"/>
  <c r="M38" i="1" s="1"/>
  <c r="L14" i="1"/>
  <c r="L38" i="1" s="1"/>
  <c r="J14" i="1"/>
  <c r="J38" i="1" s="1"/>
  <c r="I14" i="1"/>
  <c r="I38" i="1" s="1"/>
  <c r="H14" i="1"/>
  <c r="H38" i="1" s="1"/>
  <c r="G14" i="1"/>
  <c r="G38" i="1" s="1"/>
  <c r="F14" i="1"/>
  <c r="F38" i="1" s="1"/>
  <c r="E14" i="1"/>
  <c r="E38" i="1" s="1"/>
  <c r="D14" i="1"/>
  <c r="D38" i="1" s="1"/>
  <c r="C14" i="1"/>
  <c r="C38" i="1" s="1"/>
  <c r="B14" i="1"/>
  <c r="B17" i="1" s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N24" i="1" l="1"/>
  <c r="N33" i="1"/>
  <c r="M33" i="1"/>
  <c r="B21" i="1"/>
  <c r="K33" i="1"/>
  <c r="Q33" i="1"/>
  <c r="P33" i="1"/>
  <c r="F33" i="1"/>
  <c r="H33" i="1"/>
  <c r="H17" i="1"/>
  <c r="E17" i="1"/>
  <c r="I17" i="1"/>
  <c r="M17" i="1"/>
  <c r="N21" i="1"/>
  <c r="R21" i="1"/>
  <c r="Q23" i="1" s="1"/>
  <c r="K25" i="1"/>
  <c r="C32" i="1"/>
  <c r="C33" i="1" s="1"/>
  <c r="Q38" i="1"/>
  <c r="F17" i="1"/>
  <c r="J17" i="1"/>
  <c r="Q24" i="1"/>
  <c r="B38" i="1"/>
  <c r="N38" i="1"/>
  <c r="C17" i="1"/>
  <c r="G17" i="1"/>
  <c r="O17" i="1"/>
  <c r="L21" i="1"/>
  <c r="E32" i="1"/>
  <c r="E33" i="1" s="1"/>
  <c r="D17" i="1"/>
  <c r="P17" i="1"/>
  <c r="C24" i="1" l="1"/>
  <c r="C21" i="1"/>
  <c r="L25" i="1"/>
  <c r="F24" i="1"/>
  <c r="F21" i="1"/>
  <c r="M21" i="1"/>
  <c r="M24" i="1"/>
  <c r="B24" i="1"/>
  <c r="P21" i="1"/>
  <c r="P24" i="1"/>
  <c r="O24" i="1"/>
  <c r="O21" i="1"/>
  <c r="O23" i="1" s="1"/>
  <c r="I21" i="1"/>
  <c r="I24" i="1"/>
  <c r="D33" i="1"/>
  <c r="B33" i="1"/>
  <c r="H21" i="1"/>
  <c r="H24" i="1"/>
  <c r="B25" i="1"/>
  <c r="B23" i="1"/>
  <c r="L24" i="1"/>
  <c r="D21" i="1"/>
  <c r="D24" i="1"/>
  <c r="G24" i="1"/>
  <c r="G21" i="1"/>
  <c r="R25" i="1"/>
  <c r="R23" i="1"/>
  <c r="E21" i="1"/>
  <c r="E24" i="1"/>
  <c r="K23" i="1"/>
  <c r="J24" i="1"/>
  <c r="J21" i="1"/>
  <c r="E25" i="1" l="1"/>
  <c r="E23" i="1"/>
  <c r="D23" i="1"/>
  <c r="D25" i="1"/>
  <c r="M25" i="1"/>
  <c r="M23" i="1"/>
  <c r="L23" i="1"/>
  <c r="J25" i="1"/>
  <c r="J23" i="1"/>
  <c r="C23" i="1"/>
  <c r="C25" i="1"/>
  <c r="G23" i="1"/>
  <c r="G25" i="1"/>
  <c r="H23" i="1"/>
  <c r="H25" i="1"/>
  <c r="I25" i="1"/>
  <c r="I23" i="1"/>
  <c r="P23" i="1"/>
  <c r="P25" i="1"/>
  <c r="F25" i="1"/>
  <c r="F23" i="1"/>
  <c r="N23" i="1"/>
</calcChain>
</file>

<file path=xl/comments1.xml><?xml version="1.0" encoding="utf-8"?>
<comments xmlns="http://schemas.openxmlformats.org/spreadsheetml/2006/main">
  <authors>
    <author>Marian</author>
  </authors>
  <commentList>
    <comment ref="P6" authorId="0" shapeId="0">
      <text>
        <r>
          <rPr>
            <b/>
            <sz val="8"/>
            <color indexed="81"/>
            <rFont val="Tahoma"/>
            <family val="2"/>
          </rPr>
          <t>Marian:</t>
        </r>
        <r>
          <rPr>
            <sz val="8"/>
            <color indexed="81"/>
            <rFont val="Tahoma"/>
            <family val="2"/>
          </rPr>
          <t xml:space="preserve">
Union excluded
</t>
        </r>
      </text>
    </comment>
  </commentList>
</comments>
</file>

<file path=xl/sharedStrings.xml><?xml version="1.0" encoding="utf-8"?>
<sst xmlns="http://schemas.openxmlformats.org/spreadsheetml/2006/main" count="31" uniqueCount="26">
  <si>
    <t>OPERATING STATISTICS 2008- 2017</t>
  </si>
  <si>
    <t>Generating Plant (kW)</t>
  </si>
  <si>
    <t xml:space="preserve">     Available Capacity</t>
  </si>
  <si>
    <t xml:space="preserve">     Firm Capacity</t>
  </si>
  <si>
    <t xml:space="preserve">     Peak Demand</t>
  </si>
  <si>
    <t xml:space="preserve">     Percentage growth in peak demand</t>
  </si>
  <si>
    <t>Sales (kWh x 1000)</t>
  </si>
  <si>
    <t xml:space="preserve">     Domestic</t>
  </si>
  <si>
    <t xml:space="preserve">     Commercial (including Hotels)</t>
  </si>
  <si>
    <t xml:space="preserve">     Industrial</t>
  </si>
  <si>
    <t xml:space="preserve">     Street Lighting </t>
  </si>
  <si>
    <t>Total Sales</t>
  </si>
  <si>
    <t>Power Station and Office Use (kWh x 1000)</t>
  </si>
  <si>
    <t>Losses (kWh x 1000)</t>
  </si>
  <si>
    <t>Units Generated/Purchased (kWh x 1000)</t>
  </si>
  <si>
    <t>Percentage growth in units generated</t>
  </si>
  <si>
    <t>Percentage growth in sales</t>
  </si>
  <si>
    <t>Percentage Losses (excl. prior year sales adjs.)</t>
  </si>
  <si>
    <t>Number of Consumers at Year End</t>
  </si>
  <si>
    <t xml:space="preserve">     Commercial (Including Hotels)</t>
  </si>
  <si>
    <t xml:space="preserve">    Street Lighting (accounts)</t>
  </si>
  <si>
    <t>3*</t>
  </si>
  <si>
    <t xml:space="preserve">Percentage growth </t>
  </si>
  <si>
    <t xml:space="preserve">Average Annual Consumption    </t>
  </si>
  <si>
    <t xml:space="preserve">       Per Customer (kWh)</t>
  </si>
  <si>
    <t>Diesel fuel consumed (Imp. Gall.)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</si>
</sst>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Continuous"/>
    </xf>
    <xf numFmtId="165" fontId="1" fillId="0" borderId="0" xfId="1" applyNumberFormat="1" applyFont="1" applyAlignment="1">
      <alignment horizontal="centerContinuous"/>
    </xf>
    <xf numFmtId="165" fontId="0" fillId="0" borderId="0" xfId="0" applyNumberFormat="1"/>
    <xf numFmtId="165" fontId="0" fillId="0" borderId="0" xfId="1" applyNumberFormat="1" applyFont="1"/>
    <xf numFmtId="0" fontId="1" fillId="0" borderId="0" xfId="0" applyFont="1"/>
    <xf numFmtId="165" fontId="1" fillId="0" borderId="0" xfId="1" applyNumberFormat="1" applyFont="1"/>
    <xf numFmtId="165" fontId="0" fillId="0" borderId="0" xfId="1" applyNumberFormat="1" applyFont="1" applyFill="1"/>
    <xf numFmtId="165" fontId="2" fillId="0" borderId="0" xfId="1" applyNumberFormat="1" applyFont="1" applyFill="1"/>
    <xf numFmtId="37" fontId="0" fillId="0" borderId="0" xfId="0" applyNumberFormat="1"/>
    <xf numFmtId="3" fontId="0" fillId="0" borderId="0" xfId="0" applyNumberFormat="1"/>
    <xf numFmtId="166" fontId="2" fillId="0" borderId="0" xfId="2" applyNumberFormat="1" applyFont="1" applyFill="1"/>
    <xf numFmtId="166" fontId="0" fillId="0" borderId="0" xfId="2" applyNumberFormat="1" applyFont="1" applyFill="1"/>
    <xf numFmtId="166" fontId="0" fillId="0" borderId="0" xfId="0" applyNumberFormat="1"/>
    <xf numFmtId="0" fontId="2" fillId="0" borderId="0" xfId="0" applyFont="1" applyFill="1"/>
    <xf numFmtId="165" fontId="1" fillId="0" borderId="0" xfId="1" applyNumberFormat="1" applyFont="1" applyFill="1"/>
    <xf numFmtId="0" fontId="1" fillId="0" borderId="0" xfId="0" applyFont="1" applyFill="1"/>
    <xf numFmtId="166" fontId="0" fillId="0" borderId="0" xfId="2" applyNumberFormat="1" applyFont="1"/>
    <xf numFmtId="165" fontId="2" fillId="0" borderId="1" xfId="1" applyNumberFormat="1" applyFont="1" applyFill="1" applyBorder="1"/>
    <xf numFmtId="37" fontId="0" fillId="0" borderId="1" xfId="0" applyNumberFormat="1" applyBorder="1"/>
    <xf numFmtId="165" fontId="0" fillId="0" borderId="1" xfId="1" applyNumberFormat="1" applyFont="1" applyBorder="1"/>
    <xf numFmtId="3" fontId="0" fillId="0" borderId="1" xfId="0" applyNumberFormat="1" applyBorder="1"/>
    <xf numFmtId="165" fontId="2" fillId="0" borderId="2" xfId="0" applyNumberFormat="1" applyFont="1" applyFill="1" applyBorder="1"/>
    <xf numFmtId="165" fontId="2" fillId="0" borderId="2" xfId="1" applyNumberFormat="1" applyFont="1" applyFill="1" applyBorder="1"/>
    <xf numFmtId="37" fontId="2" fillId="0" borderId="0" xfId="0" applyNumberFormat="1" applyFont="1"/>
    <xf numFmtId="165" fontId="2" fillId="0" borderId="0" xfId="1" applyNumberFormat="1" applyFont="1"/>
    <xf numFmtId="3" fontId="2" fillId="0" borderId="2" xfId="0" applyNumberFormat="1" applyFont="1" applyBorder="1"/>
    <xf numFmtId="3" fontId="2" fillId="0" borderId="0" xfId="0" applyNumberFormat="1" applyFont="1"/>
    <xf numFmtId="165" fontId="2" fillId="0" borderId="0" xfId="0" applyNumberFormat="1" applyFont="1" applyFill="1" applyBorder="1"/>
    <xf numFmtId="165" fontId="2" fillId="0" borderId="3" xfId="1" applyNumberFormat="1" applyFont="1" applyFill="1" applyBorder="1"/>
    <xf numFmtId="37" fontId="0" fillId="0" borderId="3" xfId="0" applyNumberFormat="1" applyBorder="1"/>
    <xf numFmtId="165" fontId="0" fillId="0" borderId="3" xfId="1" applyNumberFormat="1" applyFont="1" applyBorder="1"/>
    <xf numFmtId="3" fontId="0" fillId="0" borderId="0" xfId="0" applyNumberFormat="1" applyBorder="1"/>
    <xf numFmtId="165" fontId="0" fillId="0" borderId="4" xfId="0" applyNumberFormat="1" applyFill="1" applyBorder="1"/>
    <xf numFmtId="165" fontId="2" fillId="0" borderId="4" xfId="0" applyNumberFormat="1" applyFont="1" applyFill="1" applyBorder="1"/>
    <xf numFmtId="37" fontId="0" fillId="0" borderId="4" xfId="0" applyNumberFormat="1" applyFill="1" applyBorder="1"/>
    <xf numFmtId="37" fontId="0" fillId="0" borderId="4" xfId="0" applyNumberFormat="1" applyBorder="1"/>
    <xf numFmtId="165" fontId="0" fillId="0" borderId="3" xfId="0" applyNumberFormat="1" applyBorder="1"/>
    <xf numFmtId="3" fontId="0" fillId="0" borderId="4" xfId="0" applyNumberFormat="1" applyBorder="1"/>
    <xf numFmtId="166" fontId="0" fillId="0" borderId="3" xfId="2" applyNumberFormat="1" applyFont="1" applyFill="1" applyBorder="1"/>
    <xf numFmtId="166" fontId="2" fillId="0" borderId="3" xfId="2" applyNumberFormat="1" applyFont="1" applyFill="1" applyBorder="1"/>
    <xf numFmtId="166" fontId="0" fillId="0" borderId="3" xfId="2" applyNumberFormat="1" applyFont="1" applyBorder="1"/>
    <xf numFmtId="166" fontId="0" fillId="0" borderId="3" xfId="0" applyNumberFormat="1" applyBorder="1"/>
    <xf numFmtId="166" fontId="0" fillId="0" borderId="0" xfId="0" applyNumberFormat="1" applyBorder="1"/>
    <xf numFmtId="0" fontId="0" fillId="0" borderId="0" xfId="0" applyAlignment="1">
      <alignment horizontal="left"/>
    </xf>
    <xf numFmtId="165" fontId="0" fillId="0" borderId="0" xfId="1" applyNumberFormat="1" applyFont="1" applyFill="1" applyAlignment="1">
      <alignment horizontal="left"/>
    </xf>
    <xf numFmtId="165" fontId="0" fillId="0" borderId="0" xfId="1" applyNumberFormat="1" applyFont="1" applyAlignment="1">
      <alignment horizontal="left"/>
    </xf>
    <xf numFmtId="165" fontId="2" fillId="0" borderId="0" xfId="1" applyNumberFormat="1" applyFont="1" applyFill="1" applyAlignment="1">
      <alignment horizontal="left"/>
    </xf>
    <xf numFmtId="37" fontId="0" fillId="0" borderId="0" xfId="0" applyNumberForma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0" borderId="0" xfId="0" applyFont="1" applyFill="1" applyAlignment="1">
      <alignment horizontal="right"/>
    </xf>
    <xf numFmtId="165" fontId="2" fillId="0" borderId="3" xfId="1" applyNumberFormat="1" applyFont="1" applyFill="1" applyBorder="1" applyAlignment="1">
      <alignment horizontal="left"/>
    </xf>
    <xf numFmtId="165" fontId="0" fillId="0" borderId="3" xfId="1" applyNumberFormat="1" applyFont="1" applyBorder="1" applyAlignment="1">
      <alignment horizontal="right"/>
    </xf>
    <xf numFmtId="0" fontId="0" fillId="0" borderId="0" xfId="0" applyBorder="1"/>
    <xf numFmtId="165" fontId="0" fillId="0" borderId="4" xfId="1" applyNumberFormat="1" applyFont="1" applyFill="1" applyBorder="1"/>
    <xf numFmtId="165" fontId="2" fillId="0" borderId="4" xfId="1" applyNumberFormat="1" applyFont="1" applyFill="1" applyBorder="1"/>
    <xf numFmtId="165" fontId="0" fillId="0" borderId="4" xfId="1" applyNumberFormat="1" applyFont="1" applyBorder="1"/>
    <xf numFmtId="165" fontId="0" fillId="0" borderId="4" xfId="1" applyNumberFormat="1" applyFont="1" applyBorder="1" applyAlignment="1">
      <alignment horizontal="right"/>
    </xf>
    <xf numFmtId="165" fontId="0" fillId="0" borderId="4" xfId="0" applyNumberFormat="1" applyBorder="1"/>
    <xf numFmtId="41" fontId="0" fillId="0" borderId="4" xfId="0" applyNumberFormat="1" applyBorder="1"/>
    <xf numFmtId="3" fontId="0" fillId="0" borderId="0" xfId="0" applyNumberFormat="1" applyFill="1"/>
    <xf numFmtId="3" fontId="2" fillId="0" borderId="0" xfId="0" applyNumberFormat="1" applyFont="1" applyFill="1"/>
    <xf numFmtId="0" fontId="0" fillId="0" borderId="0" xfId="0" applyFill="1"/>
    <xf numFmtId="3" fontId="2" fillId="0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47"/>
  <sheetViews>
    <sheetView tabSelected="1" workbookViewId="0">
      <selection activeCell="X8" sqref="X8"/>
    </sheetView>
  </sheetViews>
  <sheetFormatPr defaultRowHeight="12.75" x14ac:dyDescent="0.2"/>
  <cols>
    <col min="1" max="1" width="42.5703125" customWidth="1"/>
    <col min="2" max="2" width="14" customWidth="1"/>
    <col min="3" max="4" width="13.5703125" customWidth="1"/>
    <col min="5" max="7" width="13.42578125" customWidth="1"/>
    <col min="8" max="8" width="13.42578125" style="4" customWidth="1"/>
    <col min="9" max="9" width="13.42578125" customWidth="1"/>
    <col min="10" max="10" width="13.42578125" style="4" customWidth="1"/>
    <col min="11" max="11" width="13.42578125" customWidth="1"/>
    <col min="12" max="16" width="13.42578125" hidden="1" customWidth="1"/>
    <col min="17" max="19" width="10.7109375" hidden="1" customWidth="1"/>
  </cols>
  <sheetData>
    <row r="1" spans="1:30" ht="24.75" customHeight="1" x14ac:dyDescent="0.2">
      <c r="A1" s="1" t="s">
        <v>0</v>
      </c>
      <c r="B1" s="1"/>
      <c r="C1" s="1"/>
      <c r="D1" s="1"/>
      <c r="E1" s="1"/>
      <c r="F1" s="1"/>
      <c r="G1" s="1"/>
      <c r="H1" s="2"/>
      <c r="I1" s="1"/>
      <c r="J1" s="2"/>
      <c r="K1" s="1"/>
      <c r="L1" s="1"/>
      <c r="M1" s="1"/>
      <c r="N1" s="1"/>
      <c r="O1" s="1"/>
      <c r="P1" s="1"/>
      <c r="Q1" s="1"/>
      <c r="R1" s="1"/>
      <c r="S1" s="1"/>
    </row>
    <row r="2" spans="1:30" x14ac:dyDescent="0.2">
      <c r="E2" s="3"/>
    </row>
    <row r="3" spans="1:30" x14ac:dyDescent="0.2">
      <c r="F3" s="3"/>
    </row>
    <row r="4" spans="1:30" x14ac:dyDescent="0.2">
      <c r="B4" s="5">
        <v>2017</v>
      </c>
      <c r="C4" s="5">
        <v>2016</v>
      </c>
      <c r="D4" s="5">
        <v>2015</v>
      </c>
      <c r="E4" s="5">
        <v>2014</v>
      </c>
      <c r="F4" s="5">
        <v>2013</v>
      </c>
      <c r="G4" s="5">
        <v>2012</v>
      </c>
      <c r="H4" s="5">
        <v>2011</v>
      </c>
      <c r="I4" s="5">
        <v>2010</v>
      </c>
      <c r="J4" s="5">
        <v>2009</v>
      </c>
      <c r="K4" s="5">
        <v>2008</v>
      </c>
      <c r="L4" s="5">
        <v>2007</v>
      </c>
      <c r="M4" s="5">
        <v>2006</v>
      </c>
      <c r="N4" s="5">
        <v>2005</v>
      </c>
      <c r="O4" s="5">
        <v>2004</v>
      </c>
      <c r="P4" s="5">
        <v>2003</v>
      </c>
      <c r="Q4" s="5">
        <v>2002</v>
      </c>
      <c r="R4" s="5">
        <v>2001</v>
      </c>
      <c r="S4" s="5">
        <v>2000</v>
      </c>
    </row>
    <row r="5" spans="1:30" x14ac:dyDescent="0.2">
      <c r="A5" s="5" t="s">
        <v>1</v>
      </c>
      <c r="B5" s="5"/>
      <c r="C5" s="5"/>
      <c r="D5" s="5"/>
      <c r="E5" s="5"/>
      <c r="F5" s="5"/>
      <c r="G5" s="5"/>
      <c r="H5" s="6"/>
      <c r="I5" s="5"/>
      <c r="J5" s="6"/>
      <c r="K5" s="5"/>
      <c r="L5" s="5"/>
      <c r="M5" s="5"/>
      <c r="N5" s="5"/>
      <c r="O5" s="5"/>
      <c r="P5" s="5"/>
      <c r="Q5" s="5"/>
      <c r="R5" s="5"/>
    </row>
    <row r="6" spans="1:30" x14ac:dyDescent="0.2">
      <c r="A6" t="s">
        <v>2</v>
      </c>
      <c r="B6" s="7">
        <v>88400</v>
      </c>
      <c r="C6" s="7">
        <v>88400</v>
      </c>
      <c r="D6" s="4">
        <v>88400</v>
      </c>
      <c r="E6" s="4">
        <v>88400</v>
      </c>
      <c r="F6" s="7">
        <v>88400</v>
      </c>
      <c r="G6" s="7">
        <v>88400</v>
      </c>
      <c r="H6" s="8">
        <v>76000</v>
      </c>
      <c r="I6" s="8">
        <v>76000</v>
      </c>
      <c r="J6" s="4">
        <v>76000</v>
      </c>
      <c r="K6" s="9">
        <v>76000</v>
      </c>
      <c r="L6" s="4">
        <v>76000</v>
      </c>
      <c r="M6" s="7">
        <v>65800</v>
      </c>
      <c r="N6" s="10">
        <v>65800</v>
      </c>
      <c r="O6" s="10">
        <v>56800</v>
      </c>
      <c r="P6" s="10">
        <v>56800</v>
      </c>
      <c r="Q6" s="10">
        <v>66400</v>
      </c>
      <c r="R6" s="10">
        <v>66400</v>
      </c>
      <c r="S6" s="10">
        <v>66400</v>
      </c>
      <c r="U6" s="4"/>
      <c r="V6" s="4"/>
      <c r="W6" s="4"/>
      <c r="X6" s="4"/>
      <c r="Y6" s="8"/>
      <c r="Z6" s="8"/>
      <c r="AA6" s="4"/>
      <c r="AB6" s="9"/>
      <c r="AC6" s="4"/>
      <c r="AD6" s="7"/>
    </row>
    <row r="7" spans="1:30" x14ac:dyDescent="0.2">
      <c r="A7" t="s">
        <v>3</v>
      </c>
      <c r="B7" s="7">
        <v>68000</v>
      </c>
      <c r="C7" s="7">
        <v>68000</v>
      </c>
      <c r="D7" s="4">
        <v>68000</v>
      </c>
      <c r="E7" s="4">
        <v>68000</v>
      </c>
      <c r="F7" s="7">
        <v>68000</v>
      </c>
      <c r="G7" s="7">
        <v>68000</v>
      </c>
      <c r="H7" s="8">
        <v>55600</v>
      </c>
      <c r="I7" s="8">
        <v>55600</v>
      </c>
      <c r="J7" s="4">
        <v>55600</v>
      </c>
      <c r="K7" s="4">
        <v>55600</v>
      </c>
      <c r="L7" s="4">
        <v>55600</v>
      </c>
      <c r="M7" s="7">
        <v>46300</v>
      </c>
      <c r="N7" s="10">
        <v>46300</v>
      </c>
      <c r="O7" s="10">
        <v>37000</v>
      </c>
      <c r="P7" s="10">
        <v>37000</v>
      </c>
      <c r="Q7" s="10">
        <v>47800</v>
      </c>
      <c r="R7" s="10">
        <v>47800</v>
      </c>
      <c r="S7" s="10">
        <v>47800</v>
      </c>
      <c r="U7" s="4"/>
      <c r="V7" s="4"/>
      <c r="W7" s="4"/>
      <c r="X7" s="4"/>
      <c r="Y7" s="8"/>
      <c r="Z7" s="8"/>
      <c r="AA7" s="4"/>
      <c r="AB7" s="4"/>
      <c r="AC7" s="4"/>
      <c r="AD7" s="7"/>
    </row>
    <row r="8" spans="1:30" x14ac:dyDescent="0.2">
      <c r="A8" t="s">
        <v>4</v>
      </c>
      <c r="B8" s="7">
        <v>61700</v>
      </c>
      <c r="C8" s="7">
        <v>60300</v>
      </c>
      <c r="D8" s="7">
        <v>59000</v>
      </c>
      <c r="E8" s="7">
        <v>58900</v>
      </c>
      <c r="F8" s="7">
        <v>59700</v>
      </c>
      <c r="G8" s="4">
        <v>59800</v>
      </c>
      <c r="H8" s="8">
        <v>60300</v>
      </c>
      <c r="I8" s="8">
        <v>59200</v>
      </c>
      <c r="J8" s="7">
        <v>55900</v>
      </c>
      <c r="K8" s="9">
        <v>54100</v>
      </c>
      <c r="L8" s="4">
        <v>52700</v>
      </c>
      <c r="M8" s="7">
        <v>49800</v>
      </c>
      <c r="N8" s="10">
        <v>49200</v>
      </c>
      <c r="O8" s="10">
        <v>46600</v>
      </c>
      <c r="P8" s="10">
        <v>44900</v>
      </c>
      <c r="Q8" s="10">
        <v>43400</v>
      </c>
      <c r="R8" s="10">
        <v>43300</v>
      </c>
      <c r="S8" s="10">
        <v>43300</v>
      </c>
    </row>
    <row r="9" spans="1:30" x14ac:dyDescent="0.2">
      <c r="A9" t="s">
        <v>5</v>
      </c>
      <c r="B9" s="11">
        <f t="shared" ref="B9:M9" si="0">(B8/C8)-1</f>
        <v>2.3217247097844007E-2</v>
      </c>
      <c r="C9" s="11">
        <f t="shared" si="0"/>
        <v>2.2033898305084731E-2</v>
      </c>
      <c r="D9" s="11">
        <f t="shared" si="0"/>
        <v>1.6977928692698541E-3</v>
      </c>
      <c r="E9" s="11">
        <f t="shared" si="0"/>
        <v>-1.340033500837523E-2</v>
      </c>
      <c r="F9" s="11">
        <f t="shared" si="0"/>
        <v>-1.6722408026755842E-3</v>
      </c>
      <c r="G9" s="11">
        <f t="shared" si="0"/>
        <v>-8.2918739635157168E-3</v>
      </c>
      <c r="H9" s="11">
        <f t="shared" si="0"/>
        <v>1.8581081081081141E-2</v>
      </c>
      <c r="I9" s="11">
        <f t="shared" si="0"/>
        <v>5.903398926654746E-2</v>
      </c>
      <c r="J9" s="12">
        <f t="shared" si="0"/>
        <v>3.3271719038816983E-2</v>
      </c>
      <c r="K9" s="12">
        <f t="shared" si="0"/>
        <v>2.6565464895635715E-2</v>
      </c>
      <c r="L9" s="12">
        <f t="shared" si="0"/>
        <v>5.8232931726907688E-2</v>
      </c>
      <c r="M9" s="12">
        <f t="shared" si="0"/>
        <v>1.2195121951219523E-2</v>
      </c>
      <c r="N9" s="13">
        <f>+(N8-O8)/+O8</f>
        <v>5.5793991416309016E-2</v>
      </c>
      <c r="O9" s="13">
        <f>+(O8-P8)/+P8</f>
        <v>3.7861915367483297E-2</v>
      </c>
      <c r="P9" s="13">
        <f>+(P8-Q8)/+Q8</f>
        <v>3.4562211981566823E-2</v>
      </c>
      <c r="Q9" s="13">
        <f>+(Q8-R8)/+R8</f>
        <v>2.3094688221709007E-3</v>
      </c>
      <c r="R9" s="13">
        <f>+(R8-S8)/+S8</f>
        <v>0</v>
      </c>
      <c r="S9" s="13">
        <v>5.6097560975609757E-2</v>
      </c>
    </row>
    <row r="10" spans="1:30" x14ac:dyDescent="0.2">
      <c r="H10" s="7"/>
      <c r="I10" s="14"/>
    </row>
    <row r="11" spans="1:30" x14ac:dyDescent="0.2">
      <c r="H11" s="7"/>
      <c r="I11" s="14"/>
    </row>
    <row r="12" spans="1:30" x14ac:dyDescent="0.2">
      <c r="A12" s="5" t="s">
        <v>6</v>
      </c>
      <c r="B12" s="5"/>
      <c r="C12" s="5"/>
      <c r="D12" s="5"/>
      <c r="E12" s="5"/>
      <c r="F12" s="5"/>
      <c r="G12" s="5"/>
      <c r="H12" s="15"/>
      <c r="I12" s="16"/>
      <c r="J12" s="6"/>
      <c r="K12" s="5"/>
      <c r="L12" s="5"/>
      <c r="M12" s="5"/>
      <c r="N12" s="5"/>
      <c r="O12" s="5"/>
      <c r="P12" s="5"/>
      <c r="Q12" s="5"/>
      <c r="R12" s="5"/>
    </row>
    <row r="13" spans="1:30" x14ac:dyDescent="0.2">
      <c r="A13" t="s">
        <v>7</v>
      </c>
      <c r="B13" s="4">
        <v>127732</v>
      </c>
      <c r="C13" s="4">
        <v>123839</v>
      </c>
      <c r="D13" s="4">
        <v>116133</v>
      </c>
      <c r="E13" s="4">
        <v>111922</v>
      </c>
      <c r="F13" s="4">
        <v>112743</v>
      </c>
      <c r="G13" s="4">
        <v>112272</v>
      </c>
      <c r="H13" s="8">
        <v>113505</v>
      </c>
      <c r="I13" s="8">
        <v>113757</v>
      </c>
      <c r="J13" s="7">
        <v>107820.212</v>
      </c>
      <c r="K13" s="9">
        <v>103214</v>
      </c>
      <c r="L13" s="4">
        <v>104784</v>
      </c>
      <c r="M13" s="4">
        <v>101635</v>
      </c>
      <c r="N13" s="10">
        <v>98914.164000000004</v>
      </c>
      <c r="O13" s="10">
        <v>96062</v>
      </c>
      <c r="P13" s="10">
        <v>92848</v>
      </c>
      <c r="Q13" s="10">
        <v>89083.6</v>
      </c>
      <c r="R13" s="10">
        <v>88443</v>
      </c>
      <c r="S13" s="10">
        <v>85075</v>
      </c>
      <c r="U13" s="17"/>
      <c r="V13" s="3"/>
      <c r="X13" s="4"/>
      <c r="Y13" s="4"/>
      <c r="Z13" s="3"/>
      <c r="AA13" s="17"/>
    </row>
    <row r="14" spans="1:30" x14ac:dyDescent="0.2">
      <c r="A14" t="s">
        <v>8</v>
      </c>
      <c r="B14" s="4">
        <f>126720+76050</f>
        <v>202770</v>
      </c>
      <c r="C14" s="4">
        <f>125566+69400</f>
        <v>194966</v>
      </c>
      <c r="D14" s="4">
        <f>122796+69646</f>
        <v>192442</v>
      </c>
      <c r="E14" s="4">
        <f>121703+69591</f>
        <v>191294</v>
      </c>
      <c r="F14" s="4">
        <f>123322+69877</f>
        <v>193199</v>
      </c>
      <c r="G14" s="4">
        <f>122840+70007</f>
        <v>192847</v>
      </c>
      <c r="H14" s="8">
        <f>122098+68748</f>
        <v>190846</v>
      </c>
      <c r="I14" s="8">
        <f>116835.58+71804.04</f>
        <v>188639.62</v>
      </c>
      <c r="J14" s="7">
        <f>111387.74+67129.857</f>
        <v>178517.59700000001</v>
      </c>
      <c r="K14" s="9">
        <v>170624.43199999997</v>
      </c>
      <c r="L14" s="4">
        <f>106924+61227</f>
        <v>168151</v>
      </c>
      <c r="M14" s="4">
        <f>103410+57485</f>
        <v>160895</v>
      </c>
      <c r="N14" s="10">
        <v>158483</v>
      </c>
      <c r="O14" s="10">
        <f>96050+55401</f>
        <v>151451</v>
      </c>
      <c r="P14" s="10">
        <f>91168.744+50204.288+1</f>
        <v>141374.03200000001</v>
      </c>
      <c r="Q14" s="10">
        <v>133996</v>
      </c>
      <c r="R14" s="10">
        <f>88577+48440</f>
        <v>137017</v>
      </c>
      <c r="S14" s="10">
        <v>131863</v>
      </c>
      <c r="U14" s="17"/>
      <c r="V14" s="3"/>
      <c r="X14" s="4"/>
      <c r="Y14" s="4"/>
      <c r="Z14" s="3"/>
      <c r="AA14" s="17"/>
    </row>
    <row r="15" spans="1:30" x14ac:dyDescent="0.2">
      <c r="A15" t="s">
        <v>9</v>
      </c>
      <c r="B15" s="4">
        <v>18256</v>
      </c>
      <c r="C15" s="4">
        <v>18519</v>
      </c>
      <c r="D15" s="4">
        <v>17999</v>
      </c>
      <c r="E15" s="4">
        <v>17673</v>
      </c>
      <c r="F15" s="4">
        <v>17624</v>
      </c>
      <c r="G15" s="4">
        <v>17679</v>
      </c>
      <c r="H15" s="8">
        <v>18761</v>
      </c>
      <c r="I15" s="8">
        <v>18372.990000000002</v>
      </c>
      <c r="J15" s="7">
        <v>19002.366000000002</v>
      </c>
      <c r="K15" s="9">
        <v>18626.340999999993</v>
      </c>
      <c r="L15" s="4">
        <v>15789</v>
      </c>
      <c r="M15" s="4">
        <v>12982</v>
      </c>
      <c r="N15" s="10">
        <v>12522.378000000001</v>
      </c>
      <c r="O15" s="10">
        <v>12345</v>
      </c>
      <c r="P15" s="10">
        <v>13185</v>
      </c>
      <c r="Q15" s="10">
        <v>12673.2</v>
      </c>
      <c r="R15" s="10">
        <v>12954</v>
      </c>
      <c r="S15" s="10">
        <v>13250</v>
      </c>
      <c r="U15" s="17"/>
      <c r="V15" s="3"/>
    </row>
    <row r="16" spans="1:30" x14ac:dyDescent="0.2">
      <c r="A16" t="s">
        <v>10</v>
      </c>
      <c r="B16" s="4">
        <v>10896</v>
      </c>
      <c r="C16" s="4">
        <v>10905</v>
      </c>
      <c r="D16" s="4">
        <v>10966</v>
      </c>
      <c r="E16" s="4">
        <v>11050</v>
      </c>
      <c r="F16" s="4">
        <v>10913</v>
      </c>
      <c r="G16" s="4">
        <v>10526</v>
      </c>
      <c r="H16" s="18">
        <v>10263</v>
      </c>
      <c r="I16" s="8">
        <v>9959.31</v>
      </c>
      <c r="J16" s="7">
        <v>9740.8790000000008</v>
      </c>
      <c r="K16" s="19">
        <v>9509.9219999999968</v>
      </c>
      <c r="L16" s="20">
        <v>9117</v>
      </c>
      <c r="M16" s="20">
        <v>8886</v>
      </c>
      <c r="N16" s="10">
        <v>7480.4520000000002</v>
      </c>
      <c r="O16" s="21">
        <v>6544</v>
      </c>
      <c r="P16" s="10">
        <v>4713</v>
      </c>
      <c r="Q16" s="21">
        <v>3634</v>
      </c>
      <c r="R16" s="21">
        <v>5002</v>
      </c>
      <c r="S16" s="10">
        <v>3893</v>
      </c>
      <c r="U16" s="17"/>
      <c r="V16" s="3"/>
    </row>
    <row r="17" spans="1:22" x14ac:dyDescent="0.2">
      <c r="A17" s="5" t="s">
        <v>11</v>
      </c>
      <c r="B17" s="22">
        <f t="shared" ref="B17" si="1">SUM(B13:B16)</f>
        <v>359654</v>
      </c>
      <c r="C17" s="22">
        <f t="shared" ref="C17:M17" si="2">SUM(C13:C16)</f>
        <v>348229</v>
      </c>
      <c r="D17" s="22">
        <f t="shared" si="2"/>
        <v>337540</v>
      </c>
      <c r="E17" s="22">
        <f t="shared" si="2"/>
        <v>331939</v>
      </c>
      <c r="F17" s="22">
        <f t="shared" si="2"/>
        <v>334479</v>
      </c>
      <c r="G17" s="22">
        <f t="shared" si="2"/>
        <v>333324</v>
      </c>
      <c r="H17" s="22">
        <f t="shared" si="2"/>
        <v>333375</v>
      </c>
      <c r="I17" s="22">
        <f t="shared" si="2"/>
        <v>330728.92</v>
      </c>
      <c r="J17" s="23">
        <f t="shared" si="2"/>
        <v>315081.054</v>
      </c>
      <c r="K17" s="24">
        <f t="shared" si="2"/>
        <v>301974.69500000001</v>
      </c>
      <c r="L17" s="25">
        <f t="shared" si="2"/>
        <v>297841</v>
      </c>
      <c r="M17" s="25">
        <f t="shared" si="2"/>
        <v>284398</v>
      </c>
      <c r="N17" s="26">
        <f>SUM(N13:N16)-1</f>
        <v>277398.99400000001</v>
      </c>
      <c r="O17" s="27">
        <f>SUM(O13:O16)</f>
        <v>266402</v>
      </c>
      <c r="P17" s="26">
        <f>SUM(P13:P16)</f>
        <v>252120.03200000001</v>
      </c>
      <c r="Q17" s="27">
        <f>SUM(Q13:Q16)</f>
        <v>239386.80000000002</v>
      </c>
      <c r="R17" s="27">
        <f>SUM(R13:R16)</f>
        <v>243416</v>
      </c>
      <c r="S17" s="26">
        <v>234081</v>
      </c>
      <c r="U17" s="17"/>
      <c r="V17" s="3"/>
    </row>
    <row r="18" spans="1:22" x14ac:dyDescent="0.2">
      <c r="H18" s="7"/>
      <c r="I18" s="14"/>
      <c r="J18" s="7"/>
    </row>
    <row r="19" spans="1:22" x14ac:dyDescent="0.2">
      <c r="A19" t="s">
        <v>12</v>
      </c>
      <c r="B19" s="4">
        <v>13196</v>
      </c>
      <c r="C19" s="4">
        <v>13770</v>
      </c>
      <c r="D19" s="4">
        <v>13715</v>
      </c>
      <c r="E19" s="4">
        <v>13918</v>
      </c>
      <c r="F19" s="4">
        <v>14706</v>
      </c>
      <c r="G19" s="4">
        <v>14511</v>
      </c>
      <c r="H19" s="8">
        <f>(13668544+930376)/1000</f>
        <v>14598.92</v>
      </c>
      <c r="I19" s="8">
        <v>14126.58</v>
      </c>
      <c r="J19" s="7">
        <v>14312.3</v>
      </c>
      <c r="K19" s="9">
        <v>14255.927000000005</v>
      </c>
      <c r="L19" s="4">
        <v>13185</v>
      </c>
      <c r="M19" s="4">
        <v>13071</v>
      </c>
      <c r="N19" s="10">
        <v>13172</v>
      </c>
      <c r="O19" s="10">
        <v>12075.743</v>
      </c>
      <c r="P19" s="10">
        <v>11793</v>
      </c>
      <c r="Q19" s="10">
        <v>11969.692999999999</v>
      </c>
      <c r="R19" s="10">
        <v>12522</v>
      </c>
      <c r="S19" s="10">
        <v>12069</v>
      </c>
    </row>
    <row r="20" spans="1:22" ht="13.5" thickBot="1" x14ac:dyDescent="0.25">
      <c r="A20" t="s">
        <v>13</v>
      </c>
      <c r="B20" s="4">
        <v>27450</v>
      </c>
      <c r="C20" s="4">
        <v>29432</v>
      </c>
      <c r="D20" s="4">
        <v>30013</v>
      </c>
      <c r="E20" s="4">
        <v>33574</v>
      </c>
      <c r="F20" s="28">
        <v>33791</v>
      </c>
      <c r="G20" s="28">
        <v>36948</v>
      </c>
      <c r="H20" s="29">
        <v>37233.949999999997</v>
      </c>
      <c r="I20" s="8">
        <v>36033.269999999997</v>
      </c>
      <c r="J20" s="7">
        <v>33596.99</v>
      </c>
      <c r="K20" s="30">
        <v>36104.537999999993</v>
      </c>
      <c r="L20" s="31">
        <v>34672</v>
      </c>
      <c r="M20" s="31">
        <v>33291</v>
      </c>
      <c r="N20" s="10">
        <v>33043</v>
      </c>
      <c r="O20" s="32">
        <f>30832.18-770.28</f>
        <v>30061.9</v>
      </c>
      <c r="P20" s="10">
        <v>35070</v>
      </c>
      <c r="Q20" s="10">
        <v>34356</v>
      </c>
      <c r="R20" s="10">
        <v>30601</v>
      </c>
      <c r="S20" s="10">
        <v>30595</v>
      </c>
    </row>
    <row r="21" spans="1:22" ht="13.5" thickBot="1" x14ac:dyDescent="0.25">
      <c r="A21" t="s">
        <v>14</v>
      </c>
      <c r="B21" s="33">
        <f t="shared" ref="B21" si="3">SUM(B17:B20)</f>
        <v>400300</v>
      </c>
      <c r="C21" s="33">
        <f t="shared" ref="C21:N21" si="4">SUM(C17:C20)</f>
        <v>391431</v>
      </c>
      <c r="D21" s="33">
        <f t="shared" si="4"/>
        <v>381268</v>
      </c>
      <c r="E21" s="33">
        <f t="shared" si="4"/>
        <v>379431</v>
      </c>
      <c r="F21" s="33">
        <f t="shared" si="4"/>
        <v>382976</v>
      </c>
      <c r="G21" s="33">
        <f t="shared" si="4"/>
        <v>384783</v>
      </c>
      <c r="H21" s="33">
        <f t="shared" si="4"/>
        <v>385207.87</v>
      </c>
      <c r="I21" s="34">
        <f t="shared" si="4"/>
        <v>380888.77</v>
      </c>
      <c r="J21" s="35">
        <f t="shared" si="4"/>
        <v>362990.34399999998</v>
      </c>
      <c r="K21" s="36">
        <f t="shared" si="4"/>
        <v>352335.16000000003</v>
      </c>
      <c r="L21" s="31">
        <f t="shared" si="4"/>
        <v>345698</v>
      </c>
      <c r="M21" s="37">
        <f t="shared" si="4"/>
        <v>330760</v>
      </c>
      <c r="N21" s="38">
        <f t="shared" si="4"/>
        <v>323613.99400000001</v>
      </c>
      <c r="O21" s="38">
        <f>+O17+O19+O20</f>
        <v>308539.64300000004</v>
      </c>
      <c r="P21" s="38">
        <f>+P17+P19+P20</f>
        <v>298983.03200000001</v>
      </c>
      <c r="Q21" s="38">
        <f>+Q17+Q19+Q20+1</f>
        <v>285713.49300000002</v>
      </c>
      <c r="R21" s="38">
        <f>+R17+R19+R20</f>
        <v>286539</v>
      </c>
      <c r="S21" s="38">
        <v>276745</v>
      </c>
    </row>
    <row r="22" spans="1:22" x14ac:dyDescent="0.2">
      <c r="H22" s="7"/>
      <c r="I22" s="14"/>
      <c r="Q22" s="10"/>
      <c r="R22" s="10"/>
      <c r="S22" s="10"/>
    </row>
    <row r="23" spans="1:22" x14ac:dyDescent="0.2">
      <c r="A23" t="s">
        <v>15</v>
      </c>
      <c r="B23" s="12">
        <f t="shared" ref="B23:M23" si="5">(B21/C21)-1</f>
        <v>2.2657888618939248E-2</v>
      </c>
      <c r="C23" s="12">
        <f t="shared" si="5"/>
        <v>2.6655790677423852E-2</v>
      </c>
      <c r="D23" s="12">
        <f t="shared" si="5"/>
        <v>4.8414599755950416E-3</v>
      </c>
      <c r="E23" s="12">
        <f t="shared" si="5"/>
        <v>-9.2564547125668639E-3</v>
      </c>
      <c r="F23" s="12">
        <f t="shared" si="5"/>
        <v>-4.6961534163411089E-3</v>
      </c>
      <c r="G23" s="12">
        <f t="shared" si="5"/>
        <v>-1.1029629275227659E-3</v>
      </c>
      <c r="H23" s="12">
        <f t="shared" si="5"/>
        <v>1.1339530960705391E-2</v>
      </c>
      <c r="I23" s="11">
        <f t="shared" si="5"/>
        <v>4.9308270304843305E-2</v>
      </c>
      <c r="J23" s="17">
        <f t="shared" si="5"/>
        <v>3.0241614262964678E-2</v>
      </c>
      <c r="K23" s="17">
        <f t="shared" si="5"/>
        <v>1.919930112410273E-2</v>
      </c>
      <c r="L23" s="17">
        <f t="shared" si="5"/>
        <v>4.5162655702019494E-2</v>
      </c>
      <c r="M23" s="17">
        <f t="shared" si="5"/>
        <v>2.2081881910211765E-2</v>
      </c>
      <c r="N23" s="13">
        <f>+(N21-O21)/O21</f>
        <v>4.8857096136589374E-2</v>
      </c>
      <c r="O23" s="13">
        <f>+(O21-P21)/P21</f>
        <v>3.1963723613586313E-2</v>
      </c>
      <c r="P23" s="13">
        <f>+(P21-Q21)/Q21</f>
        <v>4.644351535753332E-2</v>
      </c>
      <c r="Q23" s="13">
        <f>+(Q21-R21)/R21</f>
        <v>-2.880958612963622E-3</v>
      </c>
      <c r="R23" s="13">
        <f>+(R21-S21)/S21</f>
        <v>3.5389979945437133E-2</v>
      </c>
      <c r="S23" s="13">
        <v>8.0212338257967558E-2</v>
      </c>
    </row>
    <row r="24" spans="1:22" x14ac:dyDescent="0.2">
      <c r="A24" t="s">
        <v>16</v>
      </c>
      <c r="B24" s="12">
        <f t="shared" ref="B24:M24" si="6">(B17/C17)-1</f>
        <v>3.2808870025184511E-2</v>
      </c>
      <c r="C24" s="12">
        <f t="shared" si="6"/>
        <v>3.1667357942762431E-2</v>
      </c>
      <c r="D24" s="12">
        <f t="shared" si="6"/>
        <v>1.6873582194318892E-2</v>
      </c>
      <c r="E24" s="12">
        <f t="shared" si="6"/>
        <v>-7.5938997665024877E-3</v>
      </c>
      <c r="F24" s="12">
        <f t="shared" si="6"/>
        <v>3.4650970227165789E-3</v>
      </c>
      <c r="G24" s="12">
        <f t="shared" si="6"/>
        <v>-1.5298087739035182E-4</v>
      </c>
      <c r="H24" s="12">
        <f t="shared" si="6"/>
        <v>8.0007517939466588E-3</v>
      </c>
      <c r="I24" s="11">
        <f t="shared" si="6"/>
        <v>4.9662986083574445E-2</v>
      </c>
      <c r="J24" s="17">
        <f t="shared" si="6"/>
        <v>4.3402176463825937E-2</v>
      </c>
      <c r="K24" s="17">
        <f t="shared" si="6"/>
        <v>1.3878864897713949E-2</v>
      </c>
      <c r="L24" s="17">
        <f t="shared" si="6"/>
        <v>4.7268264896377588E-2</v>
      </c>
      <c r="M24" s="17">
        <f t="shared" si="6"/>
        <v>2.5230826900547454E-2</v>
      </c>
      <c r="N24" s="13">
        <f>+(N17-O17)/O17</f>
        <v>4.1279697599867889E-2</v>
      </c>
      <c r="O24" s="13">
        <f>+(O17-P17)/P17</f>
        <v>5.6647494000000735E-2</v>
      </c>
      <c r="P24" s="13">
        <f>+(P17-Q17)/Q17</f>
        <v>5.3191036431415553E-2</v>
      </c>
      <c r="Q24" s="13">
        <f>+(Q17-R17)/R17</f>
        <v>-1.6552732770236889E-2</v>
      </c>
      <c r="R24" s="13">
        <f>+(R17-S17)/S17</f>
        <v>3.9879358000008545E-2</v>
      </c>
      <c r="S24" s="13">
        <v>8.5411826894987969E-2</v>
      </c>
    </row>
    <row r="25" spans="1:22" ht="13.5" thickBot="1" x14ac:dyDescent="0.25">
      <c r="A25" t="s">
        <v>17</v>
      </c>
      <c r="B25" s="39">
        <f t="shared" ref="B25:M25" si="7">B20/B21</f>
        <v>6.8573569822633032E-2</v>
      </c>
      <c r="C25" s="39">
        <f t="shared" si="7"/>
        <v>7.5190774363808693E-2</v>
      </c>
      <c r="D25" s="39">
        <f t="shared" si="7"/>
        <v>7.8718906386059148E-2</v>
      </c>
      <c r="E25" s="39">
        <f t="shared" si="7"/>
        <v>8.8485126412971002E-2</v>
      </c>
      <c r="F25" s="39">
        <f t="shared" si="7"/>
        <v>8.8232682987967909E-2</v>
      </c>
      <c r="G25" s="39">
        <f t="shared" si="7"/>
        <v>9.6022953196996746E-2</v>
      </c>
      <c r="H25" s="39">
        <f t="shared" si="7"/>
        <v>9.6659369913703982E-2</v>
      </c>
      <c r="I25" s="40">
        <f t="shared" si="7"/>
        <v>9.4603130462470694E-2</v>
      </c>
      <c r="J25" s="41">
        <f t="shared" si="7"/>
        <v>9.2556153504733452E-2</v>
      </c>
      <c r="K25" s="41">
        <f t="shared" si="7"/>
        <v>0.102472140447181</v>
      </c>
      <c r="L25" s="41">
        <f t="shared" si="7"/>
        <v>0.10029563376125983</v>
      </c>
      <c r="M25" s="41">
        <f t="shared" si="7"/>
        <v>0.10065001814004111</v>
      </c>
      <c r="N25" s="42">
        <f>(30062+1416.46)/308540</f>
        <v>0.10202391910287159</v>
      </c>
      <c r="O25" s="42">
        <f>(30062+1416.46)/308540</f>
        <v>0.10202391910287159</v>
      </c>
      <c r="P25" s="42">
        <f>+P20/+P21</f>
        <v>0.11729762644189119</v>
      </c>
      <c r="Q25" s="42">
        <f>+Q20/+Q21</f>
        <v>0.12024633362345263</v>
      </c>
      <c r="R25" s="42">
        <f>+R20/+R21</f>
        <v>0.10679523555257749</v>
      </c>
      <c r="S25" s="42">
        <v>0.11055303618854903</v>
      </c>
    </row>
    <row r="26" spans="1:22" x14ac:dyDescent="0.2">
      <c r="H26" s="7"/>
      <c r="I26" s="14"/>
      <c r="Q26" s="43"/>
      <c r="R26" s="43"/>
      <c r="S26" s="13"/>
    </row>
    <row r="27" spans="1:22" x14ac:dyDescent="0.2">
      <c r="A27" s="5" t="s">
        <v>18</v>
      </c>
      <c r="B27" s="5"/>
      <c r="C27" s="5"/>
      <c r="D27" s="5"/>
      <c r="E27" s="5"/>
      <c r="F27" s="5"/>
      <c r="G27" s="5"/>
      <c r="H27" s="15"/>
      <c r="I27" s="16"/>
      <c r="J27" s="6"/>
      <c r="K27" s="5"/>
      <c r="L27" s="5"/>
      <c r="M27" s="5"/>
      <c r="N27" s="5"/>
      <c r="O27" s="5"/>
      <c r="P27" s="5"/>
      <c r="Q27" s="5"/>
      <c r="R27" s="5"/>
    </row>
    <row r="28" spans="1:22" x14ac:dyDescent="0.2">
      <c r="A28" s="44" t="s">
        <v>7</v>
      </c>
      <c r="B28" s="45">
        <f>59487+133</f>
        <v>59620</v>
      </c>
      <c r="C28" s="45">
        <f>58734+133</f>
        <v>58867</v>
      </c>
      <c r="D28" s="46">
        <f>59645+121</f>
        <v>59766</v>
      </c>
      <c r="E28" s="46">
        <f>59680+110</f>
        <v>59790</v>
      </c>
      <c r="F28" s="45">
        <v>58648</v>
      </c>
      <c r="G28" s="46">
        <v>55110</v>
      </c>
      <c r="H28" s="47">
        <v>54415</v>
      </c>
      <c r="I28" s="47">
        <v>53566</v>
      </c>
      <c r="J28" s="46">
        <v>52986</v>
      </c>
      <c r="K28" s="48">
        <v>51444</v>
      </c>
      <c r="L28" s="49">
        <v>50163</v>
      </c>
      <c r="M28" s="4">
        <v>48697</v>
      </c>
      <c r="N28" s="10">
        <v>47417</v>
      </c>
      <c r="O28" s="10">
        <v>46347</v>
      </c>
      <c r="P28" s="10">
        <v>44980</v>
      </c>
      <c r="Q28" s="10">
        <v>43460</v>
      </c>
      <c r="R28" s="10">
        <v>42548</v>
      </c>
      <c r="S28" s="10">
        <v>41097</v>
      </c>
    </row>
    <row r="29" spans="1:22" x14ac:dyDescent="0.2">
      <c r="A29" s="44" t="s">
        <v>19</v>
      </c>
      <c r="B29" s="45">
        <f>6300+61+1+659+31</f>
        <v>7052</v>
      </c>
      <c r="C29" s="45">
        <f>6245+55+662+32</f>
        <v>6994</v>
      </c>
      <c r="D29" s="46">
        <f>6372+57+677+22</f>
        <v>7128</v>
      </c>
      <c r="E29" s="46">
        <f>6430+58+674+31</f>
        <v>7193</v>
      </c>
      <c r="F29" s="45">
        <f>7037+59</f>
        <v>7096</v>
      </c>
      <c r="G29" s="46">
        <f>6574+55</f>
        <v>6629</v>
      </c>
      <c r="H29" s="47">
        <f>6583+58</f>
        <v>6641</v>
      </c>
      <c r="I29" s="47">
        <f>6493+64</f>
        <v>6557</v>
      </c>
      <c r="J29" s="46">
        <f>6415+64</f>
        <v>6479</v>
      </c>
      <c r="K29" s="48">
        <v>6169</v>
      </c>
      <c r="L29" s="49">
        <f>5881+57</f>
        <v>5938</v>
      </c>
      <c r="M29" s="4">
        <f>5663+51</f>
        <v>5714</v>
      </c>
      <c r="N29" s="10">
        <f>5423+51</f>
        <v>5474</v>
      </c>
      <c r="O29" s="10">
        <f>5259+48</f>
        <v>5307</v>
      </c>
      <c r="P29">
        <v>5157</v>
      </c>
      <c r="Q29" s="10">
        <f>5006+44</f>
        <v>5050</v>
      </c>
      <c r="R29" s="10">
        <f>5050+32</f>
        <v>5082</v>
      </c>
      <c r="S29" s="10">
        <v>5102</v>
      </c>
    </row>
    <row r="30" spans="1:22" x14ac:dyDescent="0.2">
      <c r="A30" s="44" t="s">
        <v>9</v>
      </c>
      <c r="B30" s="46">
        <v>93</v>
      </c>
      <c r="C30" s="46">
        <v>94</v>
      </c>
      <c r="D30" s="46">
        <v>98</v>
      </c>
      <c r="E30" s="46">
        <v>98</v>
      </c>
      <c r="F30" s="45">
        <v>98</v>
      </c>
      <c r="G30" s="46">
        <v>100</v>
      </c>
      <c r="H30" s="47">
        <v>101</v>
      </c>
      <c r="I30" s="50">
        <v>100</v>
      </c>
      <c r="J30" s="46">
        <v>100</v>
      </c>
      <c r="K30" s="48">
        <v>98</v>
      </c>
      <c r="L30" s="49">
        <v>101</v>
      </c>
      <c r="M30" s="4">
        <v>95</v>
      </c>
      <c r="N30" s="10">
        <v>95</v>
      </c>
      <c r="O30">
        <v>96</v>
      </c>
      <c r="P30">
        <v>102</v>
      </c>
      <c r="Q30">
        <v>106</v>
      </c>
      <c r="R30">
        <v>112</v>
      </c>
      <c r="S30" s="10">
        <v>116</v>
      </c>
    </row>
    <row r="31" spans="1:22" ht="13.5" thickBot="1" x14ac:dyDescent="0.25">
      <c r="A31" s="44" t="s">
        <v>20</v>
      </c>
      <c r="B31" s="45">
        <v>19</v>
      </c>
      <c r="C31" s="46">
        <v>19</v>
      </c>
      <c r="D31" s="46">
        <v>19</v>
      </c>
      <c r="E31" s="46">
        <v>19</v>
      </c>
      <c r="F31" s="45">
        <v>20</v>
      </c>
      <c r="G31" s="46">
        <v>10</v>
      </c>
      <c r="H31" s="51">
        <v>9</v>
      </c>
      <c r="I31" s="50">
        <v>9</v>
      </c>
      <c r="J31" s="46">
        <v>7</v>
      </c>
      <c r="K31" s="48">
        <v>7</v>
      </c>
      <c r="L31" s="52">
        <v>7</v>
      </c>
      <c r="M31" s="52" t="s">
        <v>21</v>
      </c>
      <c r="N31" s="10">
        <v>16</v>
      </c>
      <c r="O31" s="53">
        <v>16</v>
      </c>
      <c r="P31">
        <v>14</v>
      </c>
      <c r="Q31" s="53">
        <v>17</v>
      </c>
      <c r="R31" s="53">
        <v>18</v>
      </c>
      <c r="S31" s="10">
        <v>17</v>
      </c>
    </row>
    <row r="32" spans="1:22" ht="13.5" thickBot="1" x14ac:dyDescent="0.25">
      <c r="B32" s="54">
        <f t="shared" ref="B32" si="8">SUM(B28:B31)</f>
        <v>66784</v>
      </c>
      <c r="C32" s="54">
        <f t="shared" ref="C32:L32" si="9">SUM(C28:C31)</f>
        <v>65974</v>
      </c>
      <c r="D32" s="54">
        <f t="shared" si="9"/>
        <v>67011</v>
      </c>
      <c r="E32" s="54">
        <f t="shared" si="9"/>
        <v>67100</v>
      </c>
      <c r="F32" s="54">
        <f t="shared" si="9"/>
        <v>65862</v>
      </c>
      <c r="G32" s="54">
        <f t="shared" si="9"/>
        <v>61849</v>
      </c>
      <c r="H32" s="54">
        <f t="shared" si="9"/>
        <v>61166</v>
      </c>
      <c r="I32" s="55">
        <f t="shared" si="9"/>
        <v>60232</v>
      </c>
      <c r="J32" s="56">
        <f t="shared" si="9"/>
        <v>59572</v>
      </c>
      <c r="K32" s="57">
        <f t="shared" si="9"/>
        <v>57718</v>
      </c>
      <c r="L32" s="57">
        <f t="shared" si="9"/>
        <v>56209</v>
      </c>
      <c r="M32" s="58">
        <v>54509</v>
      </c>
      <c r="N32" s="38">
        <f>SUM(N28:N31)</f>
        <v>53002</v>
      </c>
      <c r="O32" s="59">
        <f>SUM(O28:O31)</f>
        <v>51766</v>
      </c>
      <c r="P32" s="59">
        <f>SUM(P28:P31)</f>
        <v>50253</v>
      </c>
      <c r="Q32" s="59">
        <f>SUM(Q28:Q31)</f>
        <v>48633</v>
      </c>
      <c r="R32" s="59">
        <f>SUM(R28:R31)</f>
        <v>47760</v>
      </c>
      <c r="S32" s="38">
        <v>46332</v>
      </c>
    </row>
    <row r="33" spans="1:19" x14ac:dyDescent="0.2">
      <c r="A33" t="s">
        <v>22</v>
      </c>
      <c r="B33" s="12">
        <f t="shared" ref="B33:M33" si="10">(B32/C32)-1</f>
        <v>1.2277563888804632E-2</v>
      </c>
      <c r="C33" s="12">
        <f t="shared" si="10"/>
        <v>-1.5475071256957795E-2</v>
      </c>
      <c r="D33" s="12">
        <f t="shared" si="10"/>
        <v>-1.3263785394932448E-3</v>
      </c>
      <c r="E33" s="12">
        <f t="shared" si="10"/>
        <v>1.8796878321338584E-2</v>
      </c>
      <c r="F33" s="12">
        <f t="shared" si="10"/>
        <v>6.4883829972998797E-2</v>
      </c>
      <c r="G33" s="12">
        <f t="shared" si="10"/>
        <v>1.1166334237975306E-2</v>
      </c>
      <c r="H33" s="12">
        <f t="shared" si="10"/>
        <v>1.5506707398060815E-2</v>
      </c>
      <c r="I33" s="11">
        <f t="shared" si="10"/>
        <v>1.1079030416974334E-2</v>
      </c>
      <c r="J33" s="17">
        <f t="shared" si="10"/>
        <v>3.2121695138431772E-2</v>
      </c>
      <c r="K33" s="17">
        <f t="shared" si="10"/>
        <v>2.6846234588767004E-2</v>
      </c>
      <c r="L33" s="17">
        <f t="shared" si="10"/>
        <v>3.1187510319396816E-2</v>
      </c>
      <c r="M33" s="17">
        <f t="shared" si="10"/>
        <v>2.8432889324931043E-2</v>
      </c>
      <c r="N33" s="13">
        <f>+(N32-O32)/+O32</f>
        <v>2.3876675810377467E-2</v>
      </c>
      <c r="O33" s="13">
        <f>+(O32-P32)/+P32</f>
        <v>3.0107655264362328E-2</v>
      </c>
      <c r="P33" s="13">
        <f>+(P32-Q32)/+Q32</f>
        <v>3.3310714946641166E-2</v>
      </c>
      <c r="Q33" s="13">
        <f>+(Q32-R32)/+R32</f>
        <v>1.827889447236181E-2</v>
      </c>
      <c r="R33" s="13">
        <f>+(R32-S32)/+S32</f>
        <v>3.0821030821030822E-2</v>
      </c>
      <c r="S33" s="13">
        <v>2.9462738301559793E-2</v>
      </c>
    </row>
    <row r="34" spans="1:19" x14ac:dyDescent="0.2">
      <c r="F34" s="16"/>
      <c r="I34" s="14"/>
    </row>
    <row r="35" spans="1:19" x14ac:dyDescent="0.2">
      <c r="A35" s="5" t="s">
        <v>23</v>
      </c>
      <c r="B35" s="5"/>
      <c r="C35" s="5"/>
      <c r="D35" s="5"/>
      <c r="E35" s="5"/>
      <c r="F35" s="16"/>
      <c r="G35" s="5"/>
      <c r="H35" s="15"/>
      <c r="I35" s="16"/>
      <c r="J35" s="6"/>
      <c r="K35" s="5"/>
      <c r="L35" s="5"/>
      <c r="M35" s="5"/>
      <c r="N35" s="5"/>
      <c r="O35" s="5"/>
      <c r="P35" s="5"/>
      <c r="Q35" s="5"/>
      <c r="R35" s="5"/>
    </row>
    <row r="36" spans="1:19" x14ac:dyDescent="0.2">
      <c r="A36" s="5" t="s">
        <v>24</v>
      </c>
      <c r="B36" s="5"/>
      <c r="C36" s="5"/>
      <c r="D36" s="5"/>
      <c r="E36" s="5"/>
      <c r="F36" s="16"/>
      <c r="G36" s="5"/>
      <c r="H36" s="15"/>
      <c r="I36" s="16"/>
      <c r="J36" s="6"/>
      <c r="K36" s="5"/>
      <c r="L36" s="5"/>
      <c r="M36" s="5"/>
      <c r="N36" s="5"/>
      <c r="O36" s="5"/>
      <c r="P36" s="5"/>
      <c r="Q36" s="5"/>
      <c r="R36" s="5"/>
    </row>
    <row r="37" spans="1:19" x14ac:dyDescent="0.2">
      <c r="A37" s="44" t="s">
        <v>7</v>
      </c>
      <c r="B37" s="60">
        <f t="shared" ref="B37:R39" si="11">+B13/B28*1000</f>
        <v>2142.4354243542434</v>
      </c>
      <c r="C37" s="60">
        <f t="shared" si="11"/>
        <v>2103.708359522313</v>
      </c>
      <c r="D37" s="60">
        <f t="shared" si="11"/>
        <v>1943.1281999799216</v>
      </c>
      <c r="E37" s="60">
        <f t="shared" si="11"/>
        <v>1871.9183810001671</v>
      </c>
      <c r="F37" s="60">
        <f t="shared" si="11"/>
        <v>1922.3673441549586</v>
      </c>
      <c r="G37" s="60">
        <f t="shared" si="11"/>
        <v>2037.2346216657595</v>
      </c>
      <c r="H37" s="60">
        <f t="shared" si="11"/>
        <v>2085.9138105301849</v>
      </c>
      <c r="I37" s="61">
        <f t="shared" si="11"/>
        <v>2123.6791994922155</v>
      </c>
      <c r="J37" s="10">
        <f t="shared" si="11"/>
        <v>2034.8811384139208</v>
      </c>
      <c r="K37" s="10">
        <f t="shared" si="11"/>
        <v>2006.3369877925511</v>
      </c>
      <c r="L37" s="10">
        <f t="shared" si="11"/>
        <v>2088.8702828778187</v>
      </c>
      <c r="M37" s="10">
        <f t="shared" si="11"/>
        <v>2087.0895537712795</v>
      </c>
      <c r="N37" s="10">
        <f t="shared" si="11"/>
        <v>2086.0485479891181</v>
      </c>
      <c r="O37" s="10">
        <f t="shared" si="11"/>
        <v>2072.669212678275</v>
      </c>
      <c r="P37" s="10">
        <f t="shared" si="11"/>
        <v>2064.2063139172965</v>
      </c>
      <c r="Q37" s="10">
        <f t="shared" si="11"/>
        <v>2049.7837091578463</v>
      </c>
      <c r="R37" s="10">
        <f t="shared" si="11"/>
        <v>2078.6640970198364</v>
      </c>
      <c r="S37" s="10">
        <v>2070.102440567438</v>
      </c>
    </row>
    <row r="38" spans="1:19" x14ac:dyDescent="0.2">
      <c r="A38" s="44" t="s">
        <v>8</v>
      </c>
      <c r="B38" s="60">
        <f t="shared" si="11"/>
        <v>28753.54509359047</v>
      </c>
      <c r="C38" s="60">
        <f t="shared" si="11"/>
        <v>27876.179582499288</v>
      </c>
      <c r="D38" s="60">
        <f t="shared" si="11"/>
        <v>26998.035914702581</v>
      </c>
      <c r="E38" s="60">
        <f t="shared" si="11"/>
        <v>26594.466842763799</v>
      </c>
      <c r="F38" s="60">
        <f t="shared" si="11"/>
        <v>27226.465614430665</v>
      </c>
      <c r="G38" s="60">
        <f t="shared" si="11"/>
        <v>29091.416503243323</v>
      </c>
      <c r="H38" s="60">
        <f t="shared" si="11"/>
        <v>28737.539527179641</v>
      </c>
      <c r="I38" s="61">
        <f t="shared" si="11"/>
        <v>28769.196278786028</v>
      </c>
      <c r="J38" s="10">
        <f t="shared" si="11"/>
        <v>27553.26392961877</v>
      </c>
      <c r="K38" s="10">
        <f t="shared" si="11"/>
        <v>27658.361484843568</v>
      </c>
      <c r="L38" s="10">
        <f t="shared" si="11"/>
        <v>28317.783765577638</v>
      </c>
      <c r="M38" s="10">
        <f t="shared" si="11"/>
        <v>28158.032901645081</v>
      </c>
      <c r="N38" s="10">
        <f t="shared" si="11"/>
        <v>28951.954694921445</v>
      </c>
      <c r="O38" s="10">
        <f t="shared" si="11"/>
        <v>28537.968720557754</v>
      </c>
      <c r="P38" s="10">
        <f>+P14/P29*1000</f>
        <v>27414.006592980419</v>
      </c>
      <c r="Q38" s="10">
        <f t="shared" si="11"/>
        <v>26533.861386138615</v>
      </c>
      <c r="R38" s="10">
        <f t="shared" si="11"/>
        <v>26961.235733963007</v>
      </c>
      <c r="S38" s="10">
        <v>25845.354762838102</v>
      </c>
    </row>
    <row r="39" spans="1:19" x14ac:dyDescent="0.2">
      <c r="A39" s="44" t="s">
        <v>9</v>
      </c>
      <c r="B39" s="60">
        <f t="shared" si="11"/>
        <v>196301.07526881722</v>
      </c>
      <c r="C39" s="60">
        <f t="shared" si="11"/>
        <v>197010.63829787233</v>
      </c>
      <c r="D39" s="60">
        <f t="shared" si="11"/>
        <v>183663.26530612243</v>
      </c>
      <c r="E39" s="60">
        <f t="shared" si="11"/>
        <v>180336.73469387757</v>
      </c>
      <c r="F39" s="60">
        <f t="shared" si="11"/>
        <v>179836.73469387757</v>
      </c>
      <c r="G39" s="60">
        <f t="shared" si="11"/>
        <v>176790</v>
      </c>
      <c r="H39" s="60">
        <f t="shared" si="11"/>
        <v>185752.47524752477</v>
      </c>
      <c r="I39" s="61">
        <f t="shared" si="11"/>
        <v>183729.90000000002</v>
      </c>
      <c r="J39" s="10">
        <f t="shared" si="11"/>
        <v>190023.66</v>
      </c>
      <c r="K39" s="10">
        <f t="shared" si="11"/>
        <v>190064.70408163258</v>
      </c>
      <c r="L39" s="10">
        <f>+L15/L30*1000</f>
        <v>156326.73267326731</v>
      </c>
      <c r="M39" s="10">
        <f>+M15/M30*1000</f>
        <v>136652.63157894736</v>
      </c>
      <c r="N39" s="10">
        <f>+N15/N30*1000-4</f>
        <v>131810.50526315792</v>
      </c>
      <c r="O39" s="10">
        <f t="shared" si="11"/>
        <v>128593.75</v>
      </c>
      <c r="P39" s="10">
        <f>+P15/P30*1000</f>
        <v>129264.70588235292</v>
      </c>
      <c r="Q39" s="10">
        <f t="shared" si="11"/>
        <v>119558.49056603774</v>
      </c>
      <c r="R39" s="10">
        <f t="shared" si="11"/>
        <v>115660.71428571429</v>
      </c>
      <c r="S39" s="10">
        <v>114224.13793103448</v>
      </c>
    </row>
    <row r="40" spans="1:19" x14ac:dyDescent="0.2">
      <c r="F40" s="62"/>
      <c r="H40" s="7"/>
      <c r="I40" s="14"/>
      <c r="S40" s="10"/>
    </row>
    <row r="41" spans="1:19" x14ac:dyDescent="0.2">
      <c r="H41" s="7"/>
      <c r="I41" s="62"/>
      <c r="S41" s="10"/>
    </row>
    <row r="42" spans="1:19" ht="18" customHeight="1" x14ac:dyDescent="0.2">
      <c r="A42" s="5" t="s">
        <v>25</v>
      </c>
      <c r="B42" s="8">
        <v>20491272.171067111</v>
      </c>
      <c r="C42" s="8">
        <v>19938352.090044003</v>
      </c>
      <c r="D42" s="8">
        <v>19612984</v>
      </c>
      <c r="E42" s="25">
        <f>88186335/4.545</f>
        <v>19402933.993399341</v>
      </c>
      <c r="F42" s="25">
        <v>19448764</v>
      </c>
      <c r="G42" s="25">
        <v>19541743</v>
      </c>
      <c r="H42" s="8">
        <v>19712324</v>
      </c>
      <c r="I42" s="63">
        <v>19561441</v>
      </c>
      <c r="J42" s="8">
        <v>18256739.199999999</v>
      </c>
      <c r="K42" s="61">
        <v>17870149</v>
      </c>
      <c r="L42" s="4">
        <v>17729217</v>
      </c>
      <c r="M42" s="25">
        <v>17009188</v>
      </c>
      <c r="N42" s="27">
        <v>16666145</v>
      </c>
      <c r="O42" s="27">
        <v>15961905</v>
      </c>
      <c r="P42" s="27">
        <v>15436122</v>
      </c>
      <c r="Q42" s="27">
        <v>14736896</v>
      </c>
      <c r="R42" s="27">
        <v>14860580</v>
      </c>
      <c r="S42" s="10">
        <v>14388680</v>
      </c>
    </row>
    <row r="47" spans="1:19" x14ac:dyDescent="0.2">
      <c r="B47" s="3"/>
    </row>
  </sheetData>
  <pageMargins left="0.75" right="0.75" top="1" bottom="1" header="0.5" footer="0.5"/>
  <pageSetup scale="69" orientation="landscape" horizontalDpi="429496729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Operating Statistics</vt:lpstr>
    </vt:vector>
  </TitlesOfParts>
  <Company>St. Lucia Electricity Services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Duncan Joseph</dc:creator>
  <cp:lastModifiedBy>Roger Duncan Joseph</cp:lastModifiedBy>
  <dcterms:created xsi:type="dcterms:W3CDTF">2018-04-13T17:38:03Z</dcterms:created>
  <dcterms:modified xsi:type="dcterms:W3CDTF">2018-04-13T17:38:46Z</dcterms:modified>
</cp:coreProperties>
</file>